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C:\Users\nis\Downloads\"/>
    </mc:Choice>
  </mc:AlternateContent>
  <xr:revisionPtr revIDLastSave="0" documentId="13_ncr:1_{31CE0DC9-B0A4-4959-BD5D-887D1B7B88F7}" xr6:coauthVersionLast="47" xr6:coauthVersionMax="47" xr10:uidLastSave="{00000000-0000-0000-0000-000000000000}"/>
  <workbookProtection workbookAlgorithmName="SHA-512" workbookHashValue="nAy1/1GD7sHEhj3qmauPUvBuOxnUgRMKFupdqS4A6cf0yfhKW7owJrQbCyXyjSk7ZtmlHq+vBFRY4nqcxPNgtg==" workbookSaltValue="VNWEx1ShNEeCHVaAGOaP+Q==" workbookSpinCount="100000" lockStructure="1"/>
  <bookViews>
    <workbookView xWindow="-108" yWindow="-108" windowWidth="23256" windowHeight="12576" tabRatio="736" xr2:uid="{00000000-000D-0000-FFFF-FFFF00000000}"/>
  </bookViews>
  <sheets>
    <sheet name="Formule_complete" sheetId="6" r:id="rId1"/>
    <sheet name="Form_simplifiee_couts_unitaires" sheetId="8" r:id="rId2"/>
    <sheet name="CVAI_CU" sheetId="7" state="hidden" r:id="rId3"/>
    <sheet name="taxe_FS" sheetId="9" state="hidden" r:id="rId4"/>
    <sheet name="données_FC" sheetId="1" state="hidden" r:id="rId5"/>
    <sheet name="taxe_FC" sheetId="2" state="hidden" r:id="rId6"/>
    <sheet name="CVAI_FC" sheetId="3" state="hidden" r:id="rId7"/>
    <sheet name="CAI_FC" sheetId="5" state="hidden" r:id="rId8"/>
  </sheets>
  <definedNames>
    <definedName name="_1">taxe_FS!$P$2:$Q$2</definedName>
    <definedName name="_10">taxe_FS!$P$10:$T$10</definedName>
    <definedName name="_10a">taxe_FS!$G$34</definedName>
    <definedName name="_10b">taxe_FS!$G$35</definedName>
    <definedName name="_10c">taxe_FS!$G$36</definedName>
    <definedName name="_10d">taxe_FS!$G$37</definedName>
    <definedName name="_10e">taxe_FS!$G$38</definedName>
    <definedName name="_12">taxe_FS!$P$11:$T$11</definedName>
    <definedName name="_12a">taxe_FS!$G$39</definedName>
    <definedName name="_12b">taxe_FS!$G$40</definedName>
    <definedName name="_12c">taxe_FS!$G$41</definedName>
    <definedName name="_12d">taxe_FS!$G$42</definedName>
    <definedName name="_12e">taxe_FS!$G$43</definedName>
    <definedName name="_13">taxe_FS!$P$12</definedName>
    <definedName name="_13a">taxe_FS!$G$44</definedName>
    <definedName name="_14">taxe_FS!$P$13:$Q$13</definedName>
    <definedName name="_14a">taxe_FS!$G$45:$G$46</definedName>
    <definedName name="_14b">taxe_FS!$G$47</definedName>
    <definedName name="_15">taxe_FS!$P$14</definedName>
    <definedName name="_15a">taxe_FS!$G$48</definedName>
    <definedName name="_16">taxe_FS!$P$15:$AA$15</definedName>
    <definedName name="_16a">taxe_FS!$G$49</definedName>
    <definedName name="_16b">taxe_FS!$G$50</definedName>
    <definedName name="_16c">taxe_FS!$G$51</definedName>
    <definedName name="_16d">taxe_FS!$G$52</definedName>
    <definedName name="_16e">taxe_FS!$G$53</definedName>
    <definedName name="_16f">taxe_FS!$G$54</definedName>
    <definedName name="_16g">taxe_FS!$G$55</definedName>
    <definedName name="_16h">taxe_FS!$G$56</definedName>
    <definedName name="_16i">taxe_FS!$G$57</definedName>
    <definedName name="_16j">taxe_FS!$G$58</definedName>
    <definedName name="_16k">taxe_FS!$G$59</definedName>
    <definedName name="_16l">taxe_FS!$G$60</definedName>
    <definedName name="_17">taxe_FS!$P$16:$S$16</definedName>
    <definedName name="_17a">taxe_FS!$G$61:$G$62</definedName>
    <definedName name="_17b">taxe_FS!$G$63:$G$71</definedName>
    <definedName name="_17c">taxe_FS!$G$72:$G$73</definedName>
    <definedName name="_17d">taxe_FS!$G$74</definedName>
    <definedName name="_18">taxe_FS!$P$17:$Q$17</definedName>
    <definedName name="_18a">taxe_FS!$G$75</definedName>
    <definedName name="_18b">taxe_FS!$G$76</definedName>
    <definedName name="_19">taxe_FS!$P$18:$T$18</definedName>
    <definedName name="_19a">taxe_FS!$G$77</definedName>
    <definedName name="_19b">taxe_FS!$G$78</definedName>
    <definedName name="_19c">taxe_FS!$G$79:$G$80</definedName>
    <definedName name="_19d">taxe_FS!$G$81</definedName>
    <definedName name="_19e">taxe_FS!$G$82</definedName>
    <definedName name="_1a">taxe_FS!$G$2:$G$13</definedName>
    <definedName name="_1b">taxe_FS!$G$14:$G$17</definedName>
    <definedName name="_2">taxe_FS!$P$3</definedName>
    <definedName name="_20">taxe_FS!$P$19</definedName>
    <definedName name="_20a">taxe_FS!$G$83</definedName>
    <definedName name="_21">taxe_FS!$P$20</definedName>
    <definedName name="_21a">taxe_FS!$G$84</definedName>
    <definedName name="_22">taxe_FS!$P$21</definedName>
    <definedName name="_22a">taxe_FS!$G$85</definedName>
    <definedName name="_23">taxe_FS!$P$22</definedName>
    <definedName name="_23a">taxe_FS!$G$86</definedName>
    <definedName name="_24">taxe_FS!$P$23:$R$23</definedName>
    <definedName name="_24a">taxe_FS!$G$87</definedName>
    <definedName name="_24b">taxe_FS!$G$88</definedName>
    <definedName name="_24c">taxe_FS!$G$89</definedName>
    <definedName name="_25">taxe_FS!$P$24</definedName>
    <definedName name="_25a">taxe_FS!$G$90:$G$91</definedName>
    <definedName name="_26">taxe_FS!$P$25:$Q$25</definedName>
    <definedName name="_26a">taxe_FS!$G$92</definedName>
    <definedName name="_26b">taxe_FS!$G$93</definedName>
    <definedName name="_27">taxe_FS!$P$26:$Q$26</definedName>
    <definedName name="_27a">taxe_FS!$G$94</definedName>
    <definedName name="_27b">taxe_FS!$G$95</definedName>
    <definedName name="_28">taxe_FS!$P$27</definedName>
    <definedName name="_28a">taxe_FS!$G$96</definedName>
    <definedName name="_29">taxe_FS!$P$28</definedName>
    <definedName name="_29a">taxe_FS!$G$97</definedName>
    <definedName name="_2a">taxe_FS!$G$18</definedName>
    <definedName name="_3">taxe_FS!$P$4</definedName>
    <definedName name="_30">taxe_FS!$P$29</definedName>
    <definedName name="_30a">taxe_FS!$G$98</definedName>
    <definedName name="_31">taxe_FS!$P$30</definedName>
    <definedName name="_31a">taxe_FS!$G$99</definedName>
    <definedName name="_32">taxe_FS!$P$31</definedName>
    <definedName name="_32a">taxe_FS!$G$100</definedName>
    <definedName name="_35">taxe_FS!$P$32</definedName>
    <definedName name="_35a">taxe_FS!$G$101</definedName>
    <definedName name="_37">taxe_FS!$P$33:$S$33</definedName>
    <definedName name="_37a">taxe_FS!$G$102</definedName>
    <definedName name="_37b">taxe_FS!$G$103</definedName>
    <definedName name="_37c">taxe_FS!$G$104</definedName>
    <definedName name="_37d">taxe_FS!$G$105</definedName>
    <definedName name="_38">taxe_FS!$P$34</definedName>
    <definedName name="_38a">taxe_FS!$G$106</definedName>
    <definedName name="_3a">taxe_FS!$G$19</definedName>
    <definedName name="_4">taxe_FS!$P$5:$R$5</definedName>
    <definedName name="_40">taxe_FS!$P$35</definedName>
    <definedName name="_40a">taxe_FS!$G$107</definedName>
    <definedName name="_42">taxe_FS!$P$36</definedName>
    <definedName name="_42a">taxe_FS!$G$108</definedName>
    <definedName name="_43">taxe_FS!$P$37</definedName>
    <definedName name="_43a">taxe_FS!$G$109</definedName>
    <definedName name="_45">taxe_FS!$P$38</definedName>
    <definedName name="_45a">taxe_FS!$G$110</definedName>
    <definedName name="_48">taxe_FS!$P$39</definedName>
    <definedName name="_48a">taxe_FS!$G$111</definedName>
    <definedName name="_4a">taxe_FS!$G$20</definedName>
    <definedName name="_4b">taxe_FS!$G$21</definedName>
    <definedName name="_4c">taxe_FS!$G$22</definedName>
    <definedName name="_5">taxe_FS!$P$6:$Q$6</definedName>
    <definedName name="_50">taxe_FS!$P$40</definedName>
    <definedName name="_50a">taxe_FS!$G$112</definedName>
    <definedName name="_53">taxe_FS!$P$41</definedName>
    <definedName name="_53a">taxe_FS!$G$113</definedName>
    <definedName name="_5a">taxe_FS!$G$23:$G$26</definedName>
    <definedName name="_5b">taxe_FS!$G$27</definedName>
    <definedName name="_6">taxe_FS!$P$7:$Q$7</definedName>
    <definedName name="_60">taxe_FS!$P$42</definedName>
    <definedName name="_60a">taxe_FS!$G$114</definedName>
    <definedName name="_61">taxe_FS!$P$43</definedName>
    <definedName name="_61a">taxe_FS!$G$115</definedName>
    <definedName name="_66">taxe_FS!$P$44:$Q$44</definedName>
    <definedName name="_66a">taxe_FS!$G$116</definedName>
    <definedName name="_66b">taxe_FS!$G$117</definedName>
    <definedName name="_6a">taxe_FS!$G$28</definedName>
    <definedName name="_6b">taxe_FS!$G$29</definedName>
    <definedName name="_7">taxe_FS!$P$8:$R$8</definedName>
    <definedName name="_79">taxe_FS!$P$45:$Q$45</definedName>
    <definedName name="_79a">taxe_FS!$G$118</definedName>
    <definedName name="_79b">taxe_FS!$G$119</definedName>
    <definedName name="_7a">taxe_FS!$G$30</definedName>
    <definedName name="_7b">taxe_FS!$G$31</definedName>
    <definedName name="_7c">taxe_FS!$G$32</definedName>
    <definedName name="_80">taxe_FS!$P$46</definedName>
    <definedName name="_80a">taxe_FS!$G$120</definedName>
    <definedName name="_83">taxe_FS!$P$47:$Q$47</definedName>
    <definedName name="_83a">taxe_FS!$G$121</definedName>
    <definedName name="_83b">taxe_FS!$G$122</definedName>
    <definedName name="_84">taxe_FS!$P$48:$Q$48</definedName>
    <definedName name="_84a">taxe_FS!$G$123</definedName>
    <definedName name="_84b">taxe_FS!$G$124</definedName>
    <definedName name="_85">taxe_FS!$P$49:$Q$49</definedName>
    <definedName name="_85a">taxe_FS!$G$125</definedName>
    <definedName name="_85b">taxe_FS!$G$126</definedName>
    <definedName name="_86">taxe_FS!$P$50</definedName>
    <definedName name="_86a">taxe_FS!$G$127</definedName>
    <definedName name="_88">taxe_FS!$P$51</definedName>
    <definedName name="_88a">taxe_FS!$G$128</definedName>
    <definedName name="_9">taxe_FS!$P$9</definedName>
    <definedName name="_90">taxe_FS!$P$52</definedName>
    <definedName name="_90a">taxe_FS!$G$129</definedName>
    <definedName name="_92">taxe_FS!$P$53:$T$53</definedName>
    <definedName name="_92a">taxe_FS!$G$130</definedName>
    <definedName name="_92b">taxe_FS!$G$131</definedName>
    <definedName name="_92c">taxe_FS!$G$132</definedName>
    <definedName name="_92d">taxe_FS!$G$133</definedName>
    <definedName name="_92e">taxe_FS!$G$134</definedName>
    <definedName name="_93">taxe_FS!$P$54</definedName>
    <definedName name="_93a">taxe_FS!$G$135</definedName>
    <definedName name="_9a">taxe_FS!$G$33</definedName>
    <definedName name="CA">taxe_FS!$M$2:$M$54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4" i="9" l="1"/>
  <c r="H130" i="9"/>
  <c r="H129" i="9"/>
  <c r="H128" i="9"/>
  <c r="H127" i="9"/>
  <c r="H126" i="9"/>
  <c r="H125" i="9"/>
  <c r="H124" i="9"/>
  <c r="H123" i="9"/>
  <c r="H122" i="9"/>
  <c r="H121" i="9"/>
  <c r="H120" i="9"/>
  <c r="H118" i="9"/>
  <c r="H114" i="9"/>
  <c r="H113" i="9"/>
  <c r="H112" i="9"/>
  <c r="H110" i="9"/>
  <c r="H109" i="9"/>
  <c r="H108" i="9"/>
  <c r="H107" i="9"/>
  <c r="H103" i="9"/>
  <c r="H102" i="9"/>
  <c r="H100" i="9"/>
  <c r="H99" i="9"/>
  <c r="H98" i="9"/>
  <c r="H96" i="9"/>
  <c r="H86" i="9"/>
  <c r="H84" i="9"/>
  <c r="H82" i="9"/>
  <c r="H79" i="9"/>
  <c r="H78" i="9"/>
  <c r="H77" i="9"/>
  <c r="H76" i="9"/>
  <c r="H48" i="9"/>
  <c r="H33" i="9"/>
  <c r="H27" i="9"/>
  <c r="H19" i="9"/>
  <c r="H18" i="9"/>
  <c r="P43" i="9" l="1"/>
  <c r="O43" i="9"/>
  <c r="N43" i="9"/>
  <c r="M43" i="9"/>
  <c r="G115" i="9"/>
  <c r="F23" i="6"/>
  <c r="D16" i="8"/>
  <c r="D17" i="8" s="1"/>
  <c r="AL5" i="9"/>
  <c r="B29" i="1" l="1"/>
  <c r="A29" i="1"/>
  <c r="N3" i="9" l="1"/>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4" i="9"/>
  <c r="N45" i="9"/>
  <c r="N46" i="9"/>
  <c r="N47" i="9"/>
  <c r="N48" i="9"/>
  <c r="N49" i="9"/>
  <c r="N50" i="9"/>
  <c r="N51" i="9"/>
  <c r="N52" i="9"/>
  <c r="N53" i="9"/>
  <c r="N54" i="9"/>
  <c r="N2" i="9"/>
  <c r="G3" i="9"/>
  <c r="G4" i="9"/>
  <c r="G5" i="9"/>
  <c r="G6" i="9"/>
  <c r="G7" i="9"/>
  <c r="G8" i="9"/>
  <c r="G9" i="9"/>
  <c r="G10" i="9"/>
  <c r="G11" i="9"/>
  <c r="G12" i="9"/>
  <c r="G13" i="9"/>
  <c r="G14" i="9"/>
  <c r="G15" i="9"/>
  <c r="G16" i="9"/>
  <c r="G17" i="9"/>
  <c r="G18" i="9"/>
  <c r="G19" i="9"/>
  <c r="G20" i="9"/>
  <c r="G21" i="9"/>
  <c r="G22" i="9"/>
  <c r="G23" i="9"/>
  <c r="G24" i="9"/>
  <c r="G25" i="9"/>
  <c r="G26" i="9"/>
  <c r="G27" i="9"/>
  <c r="G28" i="9"/>
  <c r="G29" i="9"/>
  <c r="G30" i="9"/>
  <c r="G31" i="9"/>
  <c r="G32" i="9"/>
  <c r="G33" i="9"/>
  <c r="G34" i="9"/>
  <c r="G35" i="9"/>
  <c r="G36" i="9"/>
  <c r="G37" i="9"/>
  <c r="G38" i="9"/>
  <c r="G39" i="9"/>
  <c r="G40" i="9"/>
  <c r="G41" i="9"/>
  <c r="G42" i="9"/>
  <c r="G43" i="9"/>
  <c r="G44" i="9"/>
  <c r="G45" i="9"/>
  <c r="G46" i="9"/>
  <c r="G47" i="9"/>
  <c r="G48" i="9"/>
  <c r="G49" i="9"/>
  <c r="G50" i="9"/>
  <c r="G51" i="9"/>
  <c r="G52" i="9"/>
  <c r="G53" i="9"/>
  <c r="G54" i="9"/>
  <c r="G55" i="9"/>
  <c r="G56" i="9"/>
  <c r="G57" i="9"/>
  <c r="G58" i="9"/>
  <c r="G59" i="9"/>
  <c r="G60" i="9"/>
  <c r="G61" i="9"/>
  <c r="G62" i="9"/>
  <c r="G63" i="9"/>
  <c r="G64" i="9"/>
  <c r="G65" i="9"/>
  <c r="G66" i="9"/>
  <c r="G67" i="9"/>
  <c r="G68" i="9"/>
  <c r="G69" i="9"/>
  <c r="G70" i="9"/>
  <c r="G71" i="9"/>
  <c r="G72" i="9"/>
  <c r="G73" i="9"/>
  <c r="G74" i="9"/>
  <c r="G75" i="9"/>
  <c r="G76" i="9"/>
  <c r="G77" i="9"/>
  <c r="G78" i="9"/>
  <c r="G79" i="9"/>
  <c r="G80" i="9"/>
  <c r="G81" i="9"/>
  <c r="G82" i="9"/>
  <c r="G83" i="9"/>
  <c r="G84" i="9"/>
  <c r="G85" i="9"/>
  <c r="G86" i="9"/>
  <c r="G87" i="9"/>
  <c r="G88" i="9"/>
  <c r="G89" i="9"/>
  <c r="G90" i="9"/>
  <c r="G91" i="9"/>
  <c r="G92" i="9"/>
  <c r="G93" i="9"/>
  <c r="G94" i="9"/>
  <c r="G95" i="9"/>
  <c r="G96" i="9"/>
  <c r="G97" i="9"/>
  <c r="G98" i="9"/>
  <c r="G99" i="9"/>
  <c r="G100" i="9"/>
  <c r="G101" i="9"/>
  <c r="G102" i="9"/>
  <c r="G103" i="9"/>
  <c r="G104" i="9"/>
  <c r="G105" i="9"/>
  <c r="G106" i="9"/>
  <c r="G107" i="9"/>
  <c r="G108" i="9"/>
  <c r="G109" i="9"/>
  <c r="G110" i="9"/>
  <c r="G111" i="9"/>
  <c r="G112" i="9"/>
  <c r="G113" i="9"/>
  <c r="G114" i="9"/>
  <c r="G116" i="9"/>
  <c r="G117" i="9"/>
  <c r="G118" i="9"/>
  <c r="G119" i="9"/>
  <c r="G120" i="9"/>
  <c r="G121" i="9"/>
  <c r="G122" i="9"/>
  <c r="G123" i="9"/>
  <c r="G124" i="9"/>
  <c r="G125" i="9"/>
  <c r="G126" i="9"/>
  <c r="G127" i="9"/>
  <c r="G128" i="9"/>
  <c r="G129" i="9"/>
  <c r="G130" i="9"/>
  <c r="G131" i="9"/>
  <c r="G132" i="9"/>
  <c r="G133" i="9"/>
  <c r="G134" i="9"/>
  <c r="G135" i="9"/>
  <c r="G2" i="9"/>
  <c r="AF5" i="9" s="1"/>
  <c r="AI5" i="9" s="1"/>
  <c r="P54" i="9"/>
  <c r="P52" i="9"/>
  <c r="P51" i="9"/>
  <c r="P46" i="9"/>
  <c r="P39" i="9"/>
  <c r="P40" i="9"/>
  <c r="P41" i="9"/>
  <c r="P42" i="9"/>
  <c r="P38" i="9"/>
  <c r="P36" i="9"/>
  <c r="P35" i="9"/>
  <c r="P28" i="9"/>
  <c r="P29" i="9"/>
  <c r="P30" i="9"/>
  <c r="P31" i="9"/>
  <c r="P32" i="9"/>
  <c r="P27" i="9"/>
  <c r="P24" i="9"/>
  <c r="P22" i="9"/>
  <c r="P21" i="9"/>
  <c r="P20" i="9"/>
  <c r="P19" i="9"/>
  <c r="P14" i="9"/>
  <c r="P12" i="9"/>
  <c r="P9" i="9"/>
  <c r="AE5" i="9" l="1"/>
  <c r="AH5" i="9" s="1"/>
  <c r="AJ5" i="9" s="1"/>
  <c r="AK5" i="9" s="1"/>
  <c r="D18" i="8" s="1"/>
  <c r="O3" i="9"/>
  <c r="O4" i="9"/>
  <c r="O5" i="9"/>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4" i="9"/>
  <c r="O45" i="9"/>
  <c r="O46" i="9"/>
  <c r="O47" i="9"/>
  <c r="O48" i="9"/>
  <c r="O49" i="9"/>
  <c r="O50" i="9"/>
  <c r="O51" i="9"/>
  <c r="O52" i="9"/>
  <c r="O53" i="9"/>
  <c r="O54" i="9"/>
  <c r="O2" i="9"/>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4" i="9"/>
  <c r="M45" i="9"/>
  <c r="M46" i="9"/>
  <c r="M47" i="9"/>
  <c r="M48" i="9"/>
  <c r="M49" i="9"/>
  <c r="M50" i="9"/>
  <c r="M51" i="9"/>
  <c r="M52" i="9"/>
  <c r="M53" i="9"/>
  <c r="M54" i="9"/>
  <c r="M2" i="9"/>
  <c r="AC5" i="9" l="1"/>
  <c r="AM2" i="9" s="1"/>
  <c r="AM3" i="9" s="1"/>
  <c r="E2" i="7"/>
  <c r="F2" i="7" l="1"/>
  <c r="G2" i="7" s="1"/>
  <c r="D19" i="8" s="1"/>
  <c r="D20" i="8" s="1"/>
  <c r="AN2" i="9"/>
  <c r="AN3" i="9" s="1"/>
  <c r="AI2" i="9"/>
  <c r="AI3" i="9" s="1"/>
  <c r="AN4" i="9"/>
  <c r="AK2" i="9"/>
  <c r="AK3" i="9" s="1"/>
  <c r="AK4" i="9"/>
  <c r="AH2" i="9"/>
  <c r="AH3" i="9" s="1"/>
  <c r="AL4" i="9"/>
  <c r="AI4" i="9"/>
  <c r="AF2" i="9"/>
  <c r="AF3" i="9" s="1"/>
  <c r="AG2" i="9"/>
  <c r="AG3" i="9" s="1"/>
  <c r="AE2" i="9"/>
  <c r="AE3" i="9" s="1"/>
  <c r="AG4" i="9"/>
  <c r="AD4" i="9"/>
  <c r="AO4" i="9"/>
  <c r="AL2" i="9"/>
  <c r="AL3" i="9" s="1"/>
  <c r="AM4" i="9"/>
  <c r="AJ2" i="9"/>
  <c r="AJ3" i="9" s="1"/>
  <c r="AE4" i="9"/>
  <c r="AJ4" i="9"/>
  <c r="AH4" i="9"/>
  <c r="AD2" i="9"/>
  <c r="AD3" i="9" s="1"/>
  <c r="AF4" i="9"/>
  <c r="AO2" i="9"/>
  <c r="AO3" i="9" s="1"/>
  <c r="AD5" i="9" l="1"/>
  <c r="E22" i="1" l="1"/>
  <c r="D22" i="1"/>
  <c r="C22" i="1"/>
  <c r="B22" i="1"/>
  <c r="A22" i="1"/>
  <c r="B5" i="3" s="1"/>
  <c r="B9" i="1"/>
  <c r="E3" i="2" s="1"/>
  <c r="B8" i="1"/>
  <c r="B7" i="1"/>
  <c r="B6" i="1"/>
  <c r="B5" i="1"/>
  <c r="T3" i="1"/>
  <c r="S3" i="1"/>
  <c r="R3" i="1"/>
  <c r="Q3" i="1"/>
  <c r="P3" i="1"/>
  <c r="O3" i="1"/>
  <c r="N3" i="1"/>
  <c r="M3" i="1"/>
  <c r="L3" i="1"/>
  <c r="K3" i="1"/>
  <c r="J3" i="1"/>
  <c r="I3" i="1"/>
  <c r="G3" i="1"/>
  <c r="D3" i="1"/>
  <c r="C3" i="1"/>
  <c r="N3" i="3" l="1"/>
  <c r="M3" i="3"/>
  <c r="L3" i="3"/>
  <c r="K3" i="3"/>
  <c r="J3" i="3"/>
  <c r="I3" i="3"/>
  <c r="H3" i="3"/>
  <c r="W3" i="2" l="1"/>
  <c r="U3" i="2"/>
  <c r="T3" i="2"/>
  <c r="H3" i="2"/>
  <c r="I3" i="2"/>
  <c r="J3" i="2"/>
  <c r="K3" i="2"/>
  <c r="L3" i="2"/>
  <c r="M3" i="2"/>
  <c r="Q3" i="2" s="1"/>
  <c r="N3" i="2"/>
  <c r="O3" i="2"/>
  <c r="G3" i="2"/>
  <c r="D3" i="2"/>
  <c r="C3" i="2"/>
  <c r="R3" i="2" l="1"/>
  <c r="P3" i="2"/>
  <c r="B3" i="2"/>
  <c r="F3" i="2" s="1"/>
  <c r="X3" i="2"/>
  <c r="Y3" i="2" s="1"/>
  <c r="A3" i="3" l="1"/>
  <c r="G3" i="3" s="1"/>
  <c r="F3" i="3" l="1"/>
  <c r="E3" i="3"/>
  <c r="D3" i="3"/>
  <c r="C3" i="3"/>
  <c r="P5" i="3"/>
  <c r="R5" i="3" s="1"/>
  <c r="P11" i="3"/>
  <c r="R11" i="3" s="1"/>
  <c r="P10" i="3"/>
  <c r="R10" i="3" s="1"/>
  <c r="P6" i="3"/>
  <c r="R6" i="3" s="1"/>
  <c r="P7" i="3"/>
  <c r="R7" i="3" s="1"/>
  <c r="P8" i="3"/>
  <c r="R8" i="3" s="1"/>
  <c r="P9" i="3"/>
  <c r="R9" i="3" s="1"/>
  <c r="A3" i="2"/>
  <c r="Z3" i="2" s="1"/>
  <c r="T4" i="3" l="1"/>
  <c r="O3" i="3" s="1"/>
  <c r="B1" i="3" s="1"/>
  <c r="V3" i="2"/>
  <c r="S3" i="2"/>
  <c r="B1" i="2" l="1"/>
  <c r="E25" i="6" s="1"/>
  <c r="B7" i="3"/>
  <c r="B1" i="5" l="1"/>
  <c r="E26" i="6"/>
  <c r="E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STAELENS Nicolas</author>
  </authors>
  <commentList>
    <comment ref="A10" authorId="0" shapeId="0" xr:uid="{E5D5B1C8-6E75-4DB4-B8E7-E9C2385A7310}">
      <text>
        <r>
          <rPr>
            <sz val="9"/>
            <color indexed="81"/>
            <rFont val="Tahoma"/>
            <family val="2"/>
          </rPr>
          <t>Volume moyen journalier, exprimé en litres, de l'eau usée industrielle déversée par l'entreprise au cours du mois de plus grande activité de l'année, exception faite des eaux de refroidissement. Le volume moyen est obtenu en divisant le volume mensuel par le nombre de jours de déversement au cours du mois de plus grande activité.</t>
        </r>
      </text>
    </comment>
    <comment ref="Q10" authorId="0" shapeId="0" xr:uid="{7514CEBC-7D08-4B1B-BC4D-A496109E25DD}">
      <text>
        <r>
          <rPr>
            <sz val="9"/>
            <color indexed="81"/>
            <rFont val="Tahoma"/>
            <family val="2"/>
          </rPr>
          <t>TU sont les unités de toxicité pour 1 mètre cube, exprimées en équitox, et sont égales à 100 / EC50-24 h ;
EC50-24 h est la concentration ayant un effet d'immobilisation sur la moitié de la population de "daphnia magna" (microcrustacé d'eau douce) après 24 h d'exposition à l'effluent, sa valeur étant exprimée en pourcentage d'effluent soumis à l'essai.
Lorsque la EC50-24 h est supérieure à 100 pour cent, l'effluent est considéré comme non toxique (TU = 0).</t>
        </r>
      </text>
    </comment>
    <comment ref="R10" authorId="0" shapeId="0" xr:uid="{CBE27753-F6A8-4B02-9641-562660584074}">
      <text>
        <r>
          <rPr>
            <sz val="9"/>
            <color indexed="81"/>
            <rFont val="Tahoma"/>
            <family val="2"/>
          </rPr>
          <t>Volume annuel, exprimé en mètres cubes de l'eau usée industrielle déversée à l'exception faite des eaux de refroidissement.</t>
        </r>
      </text>
    </comment>
    <comment ref="B11" authorId="0" shapeId="0" xr:uid="{319F55FA-DFCC-4175-93E0-54FA7AE690B8}">
      <text>
        <r>
          <rPr>
            <sz val="9"/>
            <color indexed="81"/>
            <rFont val="Tahoma"/>
            <family val="2"/>
          </rPr>
          <t>Teneur en matières de suspension, exprimée en mg/l, de l'eau brute à laquelle se rapporte Q.</t>
        </r>
      </text>
    </comment>
    <comment ref="C11" authorId="0" shapeId="0" xr:uid="{2FED964D-8539-41ED-B2A2-8B3242DCD94E}">
      <text>
        <r>
          <rPr>
            <sz val="9"/>
            <color indexed="81"/>
            <rFont val="Tahoma"/>
            <family val="2"/>
          </rPr>
          <t>Demande chimique en oxygène, exprimée en mg/l, de l'eau à laquelle se rapporte Q après décantation de deux heures.</t>
        </r>
      </text>
    </comment>
    <comment ref="E11" authorId="0" shapeId="0" xr:uid="{5413A381-F08A-41BE-B6A4-DD60B201B8FC}">
      <text>
        <r>
          <rPr>
            <sz val="9"/>
            <color indexed="81"/>
            <rFont val="Tahoma"/>
            <family val="2"/>
          </rPr>
          <t>Concentration moyenne en arsenic mesurée dans l'eau à laquelle se rapporte Q1, exprimée en mg/l.</t>
        </r>
      </text>
    </comment>
    <comment ref="F11" authorId="0" shapeId="0" xr:uid="{29960A10-4A06-4FF5-947C-E3FE19514B93}">
      <text>
        <r>
          <rPr>
            <sz val="9"/>
            <color indexed="81"/>
            <rFont val="Tahoma"/>
            <family val="2"/>
          </rPr>
          <t>Concentration moyenne en chrome mesurée dans l'eau à laquelle se rapporte Q1, exprimée en mg/l.</t>
        </r>
      </text>
    </comment>
    <comment ref="G11" authorId="0" shapeId="0" xr:uid="{7F65EB0C-8135-4A67-A74D-ED04254F41F6}">
      <text>
        <r>
          <rPr>
            <sz val="9"/>
            <color indexed="81"/>
            <rFont val="Tahoma"/>
            <family val="2"/>
          </rPr>
          <t>Concentration moyenne en cuivre mesurée dans l'eau à laquelle se rapporte Q1, exprimée en mg/l.</t>
        </r>
      </text>
    </comment>
    <comment ref="H11" authorId="0" shapeId="0" xr:uid="{021464C0-22E7-41B7-9D18-199738D4F461}">
      <text>
        <r>
          <rPr>
            <sz val="9"/>
            <color indexed="81"/>
            <rFont val="Tahoma"/>
            <family val="2"/>
          </rPr>
          <t>Concentration moyenne en nickel mesurée dans l'eau à laquelle se rapporte Q1, exprimée en mg/l.</t>
        </r>
      </text>
    </comment>
    <comment ref="I11" authorId="0" shapeId="0" xr:uid="{9BDB1AF1-A215-4044-BC79-0D77B86CF6B4}">
      <text>
        <r>
          <rPr>
            <sz val="9"/>
            <color indexed="81"/>
            <rFont val="Tahoma"/>
            <family val="2"/>
          </rPr>
          <t>Concentration moyenne en plomb mesurée dans l'eau à laquelle se rapporte Q1, exprimée en mg/l.</t>
        </r>
      </text>
    </comment>
    <comment ref="J11" authorId="0" shapeId="0" xr:uid="{419DC079-B7B1-47B7-A419-41C4FB6FEA5A}">
      <text>
        <r>
          <rPr>
            <sz val="9"/>
            <color indexed="81"/>
            <rFont val="Tahoma"/>
            <family val="2"/>
          </rPr>
          <t>Concentration moyenne en argent mesurée dans l'eau à laquelle se rapporte Q1, exprimée en mg/l.</t>
        </r>
      </text>
    </comment>
    <comment ref="K11" authorId="0" shapeId="0" xr:uid="{67EA8A13-B395-4D7C-BCE0-97325DFAF8CA}">
      <text>
        <r>
          <rPr>
            <sz val="9"/>
            <color indexed="81"/>
            <rFont val="Tahoma"/>
            <family val="2"/>
          </rPr>
          <t>Concentration moyenne en zinc mesurée dans l'eau à laquelle se rapporte Q1, exprimée en mg/l.</t>
        </r>
      </text>
    </comment>
    <comment ref="L11" authorId="0" shapeId="0" xr:uid="{13ABBC82-CE41-4AE2-8D19-6F4D8AC34085}">
      <text>
        <r>
          <rPr>
            <sz val="9"/>
            <color indexed="81"/>
            <rFont val="Tahoma"/>
            <family val="2"/>
          </rPr>
          <t>Concentration moyenne en cadmium mesurée dans l'eau à laquelle se rapporte Q1, exprimée en mg/l.</t>
        </r>
      </text>
    </comment>
    <comment ref="M11" authorId="0" shapeId="0" xr:uid="{91540F06-5F39-4716-B59D-D94856662F80}">
      <text>
        <r>
          <rPr>
            <sz val="9"/>
            <color indexed="81"/>
            <rFont val="Tahoma"/>
            <family val="2"/>
          </rPr>
          <t>Concentration moyenne en mercure mesurée dans l'eau à laquelle se rapporte Q1, exprimée en mg/l.</t>
        </r>
      </text>
    </comment>
    <comment ref="N11" authorId="0" shapeId="0" xr:uid="{6F0554CC-09BF-477D-9CD4-D05BD59951BF}">
      <text>
        <r>
          <rPr>
            <sz val="9"/>
            <color indexed="81"/>
            <rFont val="Tahoma"/>
            <family val="2"/>
          </rPr>
          <t>Concentration moyenne en azote total mesurée dans l'eau usée à laquelle se rapporte Q1 et exprimée en mgN/l.</t>
        </r>
      </text>
    </comment>
    <comment ref="O11" authorId="0" shapeId="0" xr:uid="{04D2995D-7559-4E23-B753-22644A51083D}">
      <text>
        <r>
          <rPr>
            <b/>
            <sz val="9"/>
            <color indexed="81"/>
            <rFont val="Tahoma"/>
            <family val="2"/>
          </rPr>
          <t>(valeur optionnelle)</t>
        </r>
        <r>
          <rPr>
            <sz val="9"/>
            <color indexed="81"/>
            <rFont val="Tahoma"/>
            <family val="2"/>
          </rPr>
          <t xml:space="preserve">
Concentration moyenne en nitrate mesurée dans l'eau usée à laquelle se rapporte Q1 et exprimée en mgN/l.</t>
        </r>
      </text>
    </comment>
    <comment ref="P11" authorId="0" shapeId="0" xr:uid="{C9A27258-B73C-4B74-836E-EE41E08D6B97}">
      <text>
        <r>
          <rPr>
            <sz val="9"/>
            <color indexed="81"/>
            <rFont val="Tahoma"/>
            <family val="2"/>
          </rPr>
          <t>Concentration moyenne en phosphore total mesurée dans l'eau usée à laquelle se rapporte Q1 et exprimée en mgP/l.</t>
        </r>
      </text>
    </comment>
    <comment ref="A15" authorId="0" shapeId="0" xr:uid="{D24E9A63-2DBB-4033-9771-ABEC361F7AE8}">
      <text>
        <r>
          <rPr>
            <sz val="9"/>
            <color indexed="81"/>
            <rFont val="Tahoma"/>
            <family val="2"/>
          </rPr>
          <t>Volume annuel, exprimé en mètres cubes, des eaux de refroidissement déversées par l'entreprise.</t>
        </r>
      </text>
    </comment>
    <comment ref="C15" authorId="0" shapeId="0" xr:uid="{186DC6F8-8AC4-48DA-AF63-F8B3A3A90810}">
      <text>
        <r>
          <rPr>
            <sz val="9"/>
            <color indexed="81"/>
            <rFont val="Tahoma"/>
            <family val="2"/>
          </rPr>
          <t>écart moyen de température exprimé en degrés Celsius entre l'eau prélevée et l'eau déversée à laquelle se rapporte Q2.</t>
        </r>
      </text>
    </comment>
    <comment ref="A20" authorId="0" shapeId="0" xr:uid="{F48EE864-C986-4980-9D87-19E3C0F772FB}">
      <text>
        <r>
          <rPr>
            <sz val="9"/>
            <color indexed="81"/>
            <rFont val="Tahoma"/>
            <family val="2"/>
          </rPr>
          <t xml:space="preserve">Volautorisé, DCOautorisé, MESautorisé, Ntotautorisé et Ptotautorisé représentent les quantités en m³/jour et kg/jour calculées sur bases des valeurs moyennes journalières de l’autorisation de rejet de l’entreprise en vigueur au 1er janvier de l’année de calcul du CAI, après conversion éventuelle conformément à l’annexe 2 de l’arrêté ministériel du 17 septembre 2020.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tc={B42668F4-59B6-4E43-A3E5-C587DE739B9B}</author>
  </authors>
  <commentList>
    <comment ref="AL5" authorId="0" shapeId="0" xr:uid="{B42668F4-59B6-4E43-A3E5-C587DE739B9B}">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cf memento d'interprétation taxe SPGE-DIEOF</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tc={6E4D06AC-910B-4E60-A04C-85834BE06A66}</author>
  </authors>
  <commentList>
    <comment ref="F5" authorId="0" shapeId="0" xr:uid="{6E4D06AC-910B-4E60-A04C-85834BE06A6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https://etaamb.openjustice.be/fr/document_n2021205784.html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Nicolas STAELENS</author>
  </authors>
  <commentList>
    <comment ref="Q4" authorId="0" shapeId="0" xr:uid="{00000000-0006-0000-0200-000001000000}">
      <text>
        <r>
          <rPr>
            <b/>
            <sz val="10"/>
            <color indexed="81"/>
            <rFont val="Tahoma"/>
            <family val="2"/>
          </rPr>
          <t>Nicolas STAELENS:</t>
        </r>
        <r>
          <rPr>
            <sz val="10"/>
            <color indexed="81"/>
            <rFont val="Tahoma"/>
            <family val="2"/>
          </rPr>
          <t xml:space="preserve">
Annexe 1 A de l’Arrêté du Gouvernement wallon portant réglementation de l'utilisation sur ou dans les sols des boues d'épuration ou de boues issues de centres de traitement de gadoues de fosses septiques du 12 janvier 1995</t>
        </r>
      </text>
    </comment>
  </commentList>
</comments>
</file>

<file path=xl/sharedStrings.xml><?xml version="1.0" encoding="utf-8"?>
<sst xmlns="http://schemas.openxmlformats.org/spreadsheetml/2006/main" count="892" uniqueCount="455">
  <si>
    <t>MES (mg/L)</t>
  </si>
  <si>
    <t>DCO décantée 2 heures(mgO2/L)</t>
  </si>
  <si>
    <t>DCO "ordinaire"(mgO2/L)</t>
  </si>
  <si>
    <t>N-Kjeldahl (mgN/L)</t>
  </si>
  <si>
    <t>N-NO2 (mgN/L)</t>
  </si>
  <si>
    <t>N-tot (mgN/L)</t>
  </si>
  <si>
    <t>P-tot (mgP/L)</t>
  </si>
  <si>
    <t>As (mg/L)</t>
  </si>
  <si>
    <t>Cr (mg/L)</t>
  </si>
  <si>
    <t>Cu (mg/L)</t>
  </si>
  <si>
    <t>Ni (mg/L)</t>
  </si>
  <si>
    <t>Pb (mg/L)</t>
  </si>
  <si>
    <t>Ag (mg/L)</t>
  </si>
  <si>
    <t>Zn (mg/L)</t>
  </si>
  <si>
    <t>Cd (mg/L)</t>
  </si>
  <si>
    <t>Hg (mg/L)</t>
  </si>
  <si>
    <t>Température (°C)</t>
  </si>
  <si>
    <t>Différence de température entre l'eau d'alimentation et le rejet (°C)</t>
  </si>
  <si>
    <t>Q</t>
  </si>
  <si>
    <t>[MES]</t>
  </si>
  <si>
    <t>[DCO]</t>
  </si>
  <si>
    <t>d</t>
  </si>
  <si>
    <t>Q1</t>
  </si>
  <si>
    <t>Q2</t>
  </si>
  <si>
    <t>N1</t>
  </si>
  <si>
    <t>[As]</t>
  </si>
  <si>
    <t>[Cr]</t>
  </si>
  <si>
    <t>[Cu]</t>
  </si>
  <si>
    <t>[Ni]</t>
  </si>
  <si>
    <t>[Pb]</t>
  </si>
  <si>
    <t>[Ag]</t>
  </si>
  <si>
    <t>[Zn]</t>
  </si>
  <si>
    <t>[Cd]</t>
  </si>
  <si>
    <t>[Hg]</t>
  </si>
  <si>
    <t>Xi</t>
  </si>
  <si>
    <t>Yi</t>
  </si>
  <si>
    <t>Zi</t>
  </si>
  <si>
    <t>N2</t>
  </si>
  <si>
    <t>[Ntot]</t>
  </si>
  <si>
    <t>[Ptot]</t>
  </si>
  <si>
    <t>Déclaration</t>
  </si>
  <si>
    <t>N3</t>
  </si>
  <si>
    <t>N4</t>
  </si>
  <si>
    <t>N5</t>
  </si>
  <si>
    <t>dt</t>
  </si>
  <si>
    <t>∆t °C</t>
  </si>
  <si>
    <t>VOL_step_tot</t>
  </si>
  <si>
    <t>DCO_step_tot</t>
  </si>
  <si>
    <t>MES_step_tot</t>
  </si>
  <si>
    <t>CE</t>
  </si>
  <si>
    <t>Ntot_step_tot</t>
  </si>
  <si>
    <t>Ptot_step_tot</t>
  </si>
  <si>
    <t>ETM_tot</t>
  </si>
  <si>
    <t>cout_ETM</t>
  </si>
  <si>
    <t>E</t>
  </si>
  <si>
    <t>a</t>
  </si>
  <si>
    <t>b</t>
  </si>
  <si>
    <t>c</t>
  </si>
  <si>
    <t>e</t>
  </si>
  <si>
    <t>f</t>
  </si>
  <si>
    <t>CI</t>
  </si>
  <si>
    <t>Vol_capacite_coll</t>
  </si>
  <si>
    <t>I_coll</t>
  </si>
  <si>
    <t>Vol_capacite_step</t>
  </si>
  <si>
    <t>DCO_capacite_step</t>
  </si>
  <si>
    <t>MES_capacite_step</t>
  </si>
  <si>
    <t>Ntot_capacite_step</t>
  </si>
  <si>
    <t>Ptot_capacite_step</t>
  </si>
  <si>
    <t>I_step</t>
  </si>
  <si>
    <t>Permis d'environnement</t>
  </si>
  <si>
    <t>Vol_autorisé</t>
  </si>
  <si>
    <t>DCO_autorisé</t>
  </si>
  <si>
    <t>MES_autorisé</t>
  </si>
  <si>
    <t>Ntot_autorisé</t>
  </si>
  <si>
    <t>Ptot_autorisé</t>
  </si>
  <si>
    <t>a'</t>
  </si>
  <si>
    <t>b'</t>
  </si>
  <si>
    <t>c'</t>
  </si>
  <si>
    <t>d'</t>
  </si>
  <si>
    <t>e'</t>
  </si>
  <si>
    <t>Coûts spécifiques</t>
  </si>
  <si>
    <t>Vol_ind</t>
  </si>
  <si>
    <t>DCO2h_ind</t>
  </si>
  <si>
    <t>MES_ind</t>
  </si>
  <si>
    <t>Ntot_ind</t>
  </si>
  <si>
    <t>Ptot_ind</t>
  </si>
  <si>
    <t>N-NO3_ind</t>
  </si>
  <si>
    <t>ETM_ind</t>
  </si>
  <si>
    <t>Cd</t>
  </si>
  <si>
    <t>Cu</t>
  </si>
  <si>
    <t>Cr</t>
  </si>
  <si>
    <t>Ni</t>
  </si>
  <si>
    <t>Pb</t>
  </si>
  <si>
    <t>Zn</t>
  </si>
  <si>
    <t>Hg</t>
  </si>
  <si>
    <t>ETM</t>
  </si>
  <si>
    <t>qtité (kg/an)</t>
  </si>
  <si>
    <t>norme (mg/kg) = 1 unité</t>
  </si>
  <si>
    <t>unités/an</t>
  </si>
  <si>
    <t>ETMind</t>
  </si>
  <si>
    <t>CVAI</t>
  </si>
  <si>
    <t>Q1 (m³/an)</t>
  </si>
  <si>
    <t>Q (L/j)</t>
  </si>
  <si>
    <t>Q2 (m³/an)</t>
  </si>
  <si>
    <t>concentrations moyennes annuelles</t>
  </si>
  <si>
    <t>TU (cf Code de l'Eau Art. D.262)</t>
  </si>
  <si>
    <t>m³/j</t>
  </si>
  <si>
    <t>kg/j</t>
  </si>
  <si>
    <t>(cf Code de l'Eau Art. D.262)</t>
  </si>
  <si>
    <t>N-NO3 (mgN/L)
OPTIONNEL</t>
  </si>
  <si>
    <t>nbr de jours de déversement</t>
  </si>
  <si>
    <t>FC taxe</t>
  </si>
  <si>
    <t>Taxe unité de charge polluante (UCP) eaux usées industrielles</t>
  </si>
  <si>
    <t>€/UCP</t>
  </si>
  <si>
    <t>CAI</t>
  </si>
  <si>
    <t>Cet outil de calcul ne tient pas compte:</t>
  </si>
  <si>
    <t>* des volumes d'eau usée domestique</t>
  </si>
  <si>
    <t>* des déductions éventuelles (par exemple: sur les charges des eaux entrantes)</t>
  </si>
  <si>
    <t>Valeurs paramétriques mg/l</t>
  </si>
  <si>
    <t>TU</t>
  </si>
  <si>
    <t>MES</t>
  </si>
  <si>
    <t>DCO dec. 2h</t>
  </si>
  <si>
    <t>As</t>
  </si>
  <si>
    <t>Ag</t>
  </si>
  <si>
    <t>Ntot</t>
  </si>
  <si>
    <t>NO3</t>
  </si>
  <si>
    <t>Ptot</t>
  </si>
  <si>
    <r>
      <rPr>
        <sz val="11"/>
        <color theme="1"/>
        <rFont val="Calibri"/>
        <family val="2"/>
      </rPr>
      <t>∆</t>
    </r>
    <r>
      <rPr>
        <sz val="11"/>
        <color theme="1"/>
        <rFont val="Times New Roman"/>
        <family val="1"/>
      </rPr>
      <t>t °C</t>
    </r>
  </si>
  <si>
    <t>Volume d'eau de refroidissement (Q2) m³/an</t>
  </si>
  <si>
    <t>Déversement d'eau usée industrielle</t>
  </si>
  <si>
    <t>Volume m³/an (Q1)</t>
  </si>
  <si>
    <t>Déversement d'eau de refroidissement</t>
  </si>
  <si>
    <t>Volume l / j (Q)</t>
  </si>
  <si>
    <t>Déversement d'eaux usées industrielles pendant</t>
  </si>
  <si>
    <t>jours par an.</t>
  </si>
  <si>
    <t>Vol_autorisé (m³/j)</t>
  </si>
  <si>
    <t>Données calculées sur base du permis d'environnement</t>
  </si>
  <si>
    <t>Outil de calcul du Coût d'Assainissement Industriel</t>
  </si>
  <si>
    <t>Seules les cases en gis-bleu sont à compléter.</t>
  </si>
  <si>
    <t>Données à compléter</t>
  </si>
  <si>
    <t>Coût calculé</t>
  </si>
  <si>
    <t>équivalent à la taxe sur les eaux usées industrielles:</t>
  </si>
  <si>
    <t>Coût-Vérité Assainissement industriel:</t>
  </si>
  <si>
    <t>Coût d'Assainissement Industriel:</t>
  </si>
  <si>
    <t xml:space="preserve">pour un déversement en </t>
  </si>
  <si>
    <t>TD_ACTI</t>
  </si>
  <si>
    <t>LIBELLE ACTIVITE</t>
  </si>
  <si>
    <t>CVAI tarif unitaire</t>
  </si>
  <si>
    <t>(€/m³)</t>
  </si>
  <si>
    <t>LAIT</t>
  </si>
  <si>
    <t>MÉTALLURGIE DU FER</t>
  </si>
  <si>
    <t>MÉTALLURGIE NON FERREUX</t>
  </si>
  <si>
    <t>ENNOBLISSEMENT DU TEXTILE</t>
  </si>
  <si>
    <t>BLANCHISSERIES</t>
  </si>
  <si>
    <t>PRÉPARATION DU POISSON</t>
  </si>
  <si>
    <t>INDUSTRIE SUCRIÈRE</t>
  </si>
  <si>
    <t>TANNERIES ET MÉGISSERIES</t>
  </si>
  <si>
    <t>LAVAGE DE LA LAINE</t>
  </si>
  <si>
    <t>PAPIER ET CARTON</t>
  </si>
  <si>
    <t>VERRE</t>
  </si>
  <si>
    <t>ABATTOIRS</t>
  </si>
  <si>
    <t>FRUITS ET LÉGUMES</t>
  </si>
  <si>
    <t>TRAITEMENT DU MÉTAL</t>
  </si>
  <si>
    <t>PÉTROCHIMIE ET CHIMIE ORG.</t>
  </si>
  <si>
    <t>ABATTOIRS DE VOLAILLE</t>
  </si>
  <si>
    <t>VIANDE</t>
  </si>
  <si>
    <t>POMMES DE TERRE</t>
  </si>
  <si>
    <t>HUILES ET GRAISSES</t>
  </si>
  <si>
    <t>PEROXYDES</t>
  </si>
  <si>
    <t>AGENTS DE SURFACE</t>
  </si>
  <si>
    <t>IND. GRAPHIQUES</t>
  </si>
  <si>
    <t>IND. PHARMACEUTIQUE</t>
  </si>
  <si>
    <t>NETTOYAGE CUVES</t>
  </si>
  <si>
    <t>LABORATOIRES</t>
  </si>
  <si>
    <t>PANNEAUX EN FIBRES DE BOIS</t>
  </si>
  <si>
    <t>DÉPÔTS DE DÉCHETS</t>
  </si>
  <si>
    <t>STOCKAGE DE PRODUITS LIQUIDES</t>
  </si>
  <si>
    <t>TRANSF. MATIÈRES PLASTIQUES</t>
  </si>
  <si>
    <t>PISCINES</t>
  </si>
  <si>
    <t>HÔPITAUX</t>
  </si>
  <si>
    <t>IND. MANUFACTURIÈRE</t>
  </si>
  <si>
    <t>PRODUITS PYROTECHNIQUES</t>
  </si>
  <si>
    <t>TEXTILE (DIVERS)</t>
  </si>
  <si>
    <t>AUTRES IND. CHIMIQUES</t>
  </si>
  <si>
    <t>PRODUITS MINÉRAUX NON MET.</t>
  </si>
  <si>
    <t>CAOUTCHOUC</t>
  </si>
  <si>
    <t>TTT DE DÉCHETS</t>
  </si>
  <si>
    <t>CENTRALES ÉLECTRIQUES</t>
  </si>
  <si>
    <t>PRODUCTION D'EAU POTABLE</t>
  </si>
  <si>
    <t>AUTRES IAA</t>
  </si>
  <si>
    <t>RÉPARATION D'AUTOMOBILES</t>
  </si>
  <si>
    <t>"autres"?</t>
  </si>
  <si>
    <t>BRASSERIES. MALTERIES…</t>
  </si>
  <si>
    <t>VERNIS. PEINTURES. …</t>
  </si>
  <si>
    <t>CARRIÈRES. CIMENTERIES…</t>
  </si>
  <si>
    <t>Cette feuille concerne le calcul en formule complète.</t>
  </si>
  <si>
    <t>Cette feuille concerne le calcul en formule simplifiée/coûts unitaires.</t>
  </si>
  <si>
    <t>Secteur d'activité</t>
  </si>
  <si>
    <t>Code</t>
  </si>
  <si>
    <t>Matière / Produit / Emploi</t>
  </si>
  <si>
    <t>Unité</t>
  </si>
  <si>
    <t>C2</t>
  </si>
  <si>
    <t>Lait réceptionné</t>
  </si>
  <si>
    <t>tonne</t>
  </si>
  <si>
    <t>Lait réceptionné dans un poste de réception</t>
  </si>
  <si>
    <t>Fromage (sauf fromage frais)</t>
  </si>
  <si>
    <t>Fromage frais</t>
  </si>
  <si>
    <t>Beurre et concentré de beurre (tiré du beurre) fabriqué</t>
  </si>
  <si>
    <t>Beurre (préparation continue sans lavage)</t>
  </si>
  <si>
    <t>Poudre de lait (séchage sur cylindres)</t>
  </si>
  <si>
    <t>Poudre de lait (séchage en tour spray)</t>
  </si>
  <si>
    <t>Lait de consommation en bouteilles</t>
  </si>
  <si>
    <t>Lait condensé</t>
  </si>
  <si>
    <t>Produits frais en bouteilles</t>
  </si>
  <si>
    <t>Matière première pour la préparation de crème glacée</t>
  </si>
  <si>
    <t>Beurre</t>
  </si>
  <si>
    <t>Journée de travail</t>
  </si>
  <si>
    <t>100 j.</t>
  </si>
  <si>
    <t>Eau utilisée en teinturerie</t>
  </si>
  <si>
    <t>m³</t>
  </si>
  <si>
    <t>Eau utilisée en atelier de blanchiment</t>
  </si>
  <si>
    <t>Eau utilisée</t>
  </si>
  <si>
    <t>Linge blanc autre que ci-dessus</t>
  </si>
  <si>
    <t>Linge de couleur, vêtements de travail et essuie-mains et essuies de cuisine de location</t>
  </si>
  <si>
    <t>Linge amidonné</t>
  </si>
  <si>
    <t>Poisson</t>
  </si>
  <si>
    <t>Betteraves sucrières</t>
  </si>
  <si>
    <t>Produit fini</t>
  </si>
  <si>
    <t>Matière première</t>
  </si>
  <si>
    <t>Bière</t>
  </si>
  <si>
    <t>Orge</t>
  </si>
  <si>
    <t>Produit fabriqué</t>
  </si>
  <si>
    <t>Laine brute lavée</t>
  </si>
  <si>
    <t>Papier de pâte mécanique ou de cellulose</t>
  </si>
  <si>
    <t>Papier provenant d'autres matières</t>
  </si>
  <si>
    <t>Carton</t>
  </si>
  <si>
    <t>Poids de porcs abattus</t>
  </si>
  <si>
    <t>Poids d'animaux abattus</t>
  </si>
  <si>
    <t>Pommes, poires, fraises</t>
  </si>
  <si>
    <t>Cerises, mûres, groseilles et autres fruits doux</t>
  </si>
  <si>
    <t>Pommes de terre épluchées</t>
  </si>
  <si>
    <t>Pommes de terre blanchies</t>
  </si>
  <si>
    <t>Carottes, oignons</t>
  </si>
  <si>
    <t>Betteraves rouges</t>
  </si>
  <si>
    <t>Légumes de soupe verte julienne</t>
  </si>
  <si>
    <t>Epinards, endives, variétés de choux (sauf choucroute) et choux raves</t>
  </si>
  <si>
    <t>Poireaux, haricots verts, haricots coupés et céléris</t>
  </si>
  <si>
    <t>Petits pois et pois chiches</t>
  </si>
  <si>
    <t>Autres légumes</t>
  </si>
  <si>
    <t>Carottes</t>
  </si>
  <si>
    <t>Echalottes</t>
  </si>
  <si>
    <t>Mélasse</t>
  </si>
  <si>
    <t>En outre par tonne de fer bivalent déversé</t>
  </si>
  <si>
    <t>Colle d'os</t>
  </si>
  <si>
    <t>Poids abattu</t>
  </si>
  <si>
    <t>Produit fabriqué (cuisson de saucissons et jambons)</t>
  </si>
  <si>
    <t>Produit fabriqué (autres)</t>
  </si>
  <si>
    <t>Pommes de terre</t>
  </si>
  <si>
    <t>Huile ou graisse brute</t>
  </si>
  <si>
    <t>Savon</t>
  </si>
  <si>
    <t>Poids brut de matériaux à détruire</t>
  </si>
  <si>
    <t>Nombre de lits</t>
  </si>
  <si>
    <t>Lit</t>
  </si>
  <si>
    <t>Linge blanc provenant uniquement d'hôpitaux et d'hôtels, paquets de draps et essuie-mains pour rouleaux automatiques</t>
  </si>
  <si>
    <t>37</t>
  </si>
  <si>
    <t>04</t>
  </si>
  <si>
    <t>38</t>
  </si>
  <si>
    <t>01</t>
  </si>
  <si>
    <t>40</t>
  </si>
  <si>
    <t>42</t>
  </si>
  <si>
    <t>43</t>
  </si>
  <si>
    <t>45</t>
  </si>
  <si>
    <t>48</t>
  </si>
  <si>
    <t>02</t>
  </si>
  <si>
    <t>50</t>
  </si>
  <si>
    <t>53</t>
  </si>
  <si>
    <t>60</t>
  </si>
  <si>
    <t>66</t>
  </si>
  <si>
    <t>79</t>
  </si>
  <si>
    <t>03</t>
  </si>
  <si>
    <t>80</t>
  </si>
  <si>
    <t>83</t>
  </si>
  <si>
    <t>84</t>
  </si>
  <si>
    <t>85</t>
  </si>
  <si>
    <t>86</t>
  </si>
  <si>
    <t>88</t>
  </si>
  <si>
    <t>90</t>
  </si>
  <si>
    <t>92</t>
  </si>
  <si>
    <t>05</t>
  </si>
  <si>
    <t>93</t>
  </si>
  <si>
    <t>déclinaison</t>
  </si>
  <si>
    <t>Activité</t>
  </si>
  <si>
    <t>Précision</t>
  </si>
  <si>
    <t>INDUSTRIE LAITIERE</t>
  </si>
  <si>
    <t>entreprises non assainies</t>
  </si>
  <si>
    <t>industrie du fer - sidérurgie à chaud</t>
  </si>
  <si>
    <t>industrie des métaux non-ferreux</t>
  </si>
  <si>
    <t>teintureries</t>
  </si>
  <si>
    <t>atelier de blanchiment</t>
  </si>
  <si>
    <t>impression, apprêts et finissage</t>
  </si>
  <si>
    <t>BLANCHISSERIES (à l’exception des salons-lavoirs)</t>
  </si>
  <si>
    <t>lavage humide</t>
  </si>
  <si>
    <t>nettoyage à sec</t>
  </si>
  <si>
    <t>PREPARATION DU POISSON</t>
  </si>
  <si>
    <t>fabriques de conserves de poissons</t>
  </si>
  <si>
    <t>fabriques de farine de poissons</t>
  </si>
  <si>
    <t>INDUSTRIE DU SUCRE ET DES RAPERIES DE BETTERAVES</t>
  </si>
  <si>
    <t>sucreries et râperies de betteraves (rejet de toutes les eaux usées)</t>
  </si>
  <si>
    <t>sucreries et râperies de betteraves (rejet des eaux usées venant exclusivement des condenseurs)</t>
  </si>
  <si>
    <t>confiserie, miel, autres</t>
  </si>
  <si>
    <t>RAFFINERIES DE PETROLE</t>
  </si>
  <si>
    <t>TANNERIES ET MEGISSERIES</t>
  </si>
  <si>
    <t>tannerie - tannage au chrome</t>
  </si>
  <si>
    <t>tannerie - tannage végétal</t>
  </si>
  <si>
    <t>mégisserie</t>
  </si>
  <si>
    <t>pelleterie</t>
  </si>
  <si>
    <t>chamoiserie</t>
  </si>
  <si>
    <t>BRASSERIES, MALTERIES, ENTREPRISES DE CONDITIONNEMENT ET DE MISE EN BOUTEILLES DES BOISSONS</t>
  </si>
  <si>
    <t>Brasserie (sans dispositif de rétention du houblon et de la drèche)</t>
  </si>
  <si>
    <t>Brasserie (avec dispositif de rétention du houblon et de la drèche)</t>
  </si>
  <si>
    <t>malterie (à trempage par aspersion)</t>
  </si>
  <si>
    <t>malterie (à trempage par immersion)</t>
  </si>
  <si>
    <t>limonaderies et eaux en bouteilles</t>
  </si>
  <si>
    <t>INDUSTRIE DU PAPIER ET CARTON</t>
  </si>
  <si>
    <t>industrie du papier</t>
  </si>
  <si>
    <t>Fabriques de carton de paille</t>
  </si>
  <si>
    <t>INDUSTRIE VERRERIE</t>
  </si>
  <si>
    <t>abattoirs et tuerie de porcs
-	avec boyauderie
-	avec évacuation du contenu des panses par les déversements d'eaux usées
-	avec évacuation du sang par les déversements d'eaux usées</t>
  </si>
  <si>
    <t>abattoirs et tuerie de porcs
-	avec boyauderie
-	avec évacuation du contenu des panses par les déversements d'eaux usées
-	sans évacuation du sang par les déversements d'eaux usées</t>
  </si>
  <si>
    <t>abattoirs et tuerie de porcs
-	avec boyauderie
-	sans évacuation du contenu des panses par les déversements d'eaux usées
-	sans évacuation du sang par les déversements d'eaux usées</t>
  </si>
  <si>
    <t>abattoirs et tuerie de porcs
-	avec boyauderie
-	sans évacuation du contenu des panses par les déversements d'eaux usées
-	avec évacuation du sang par les déversements d'eaux usées</t>
  </si>
  <si>
    <t>abattoirs et tuerie de porcs
-	sans boyauderie
-	avec évacuation du contenu des panses par les déversements d'eaux usées
-	avec évacuation du sang par les déversements d'eaux usées</t>
  </si>
  <si>
    <t>abattoirs et tuerie de porcs
-	sans boyauderie
-	avec évacuation du contenu des panses par les déversements d'eaux usées
-	sans évacuation du sang par les déversements d'eaux usées</t>
  </si>
  <si>
    <t>abattoirs et tuerie de porcs
-	sans boyauderie
-	sans évacuation du contenu des panses par les déversements d'eaux usées
-	sans évacuation du sang par les déversements d'eaux usées</t>
  </si>
  <si>
    <t>abattoirs et tuerie de porcs
-	sans boyauderie
-	sans évacuation du contenu des panses par les déversements d'eaux usées
-	avec évacuation du sang par les déversements d'eaux usées</t>
  </si>
  <si>
    <t>abattoir et tuerie d'autres animaux
-	sans évacuation du contenu des panses par les déversements d'eaux usées
-	sans évacuation du sang par les déversements d'eaux usées</t>
  </si>
  <si>
    <t>abattoir et tuerie d'autres animaux
-	sans évacuation du contenu des panses par les déversements d'eaux usées
-	avec évacuation du sang par les déversements d'eaux usées</t>
  </si>
  <si>
    <t>abattoir et tuerie d'autres animaux
-	avec évacuation du contenu des panses par les déversements d'eaux usées
-	sans évacuation du sang par les déversements d'eaux usées</t>
  </si>
  <si>
    <t>abattoir et tuerie d'autres animaux
-	avec évacuation du contenu des panses par les déversements d'eaux usées
-	avec évacuation du sang par les déversements d'eaux usées</t>
  </si>
  <si>
    <t>CONSERVERIE DE FRUITS ET DE LEGUMES</t>
  </si>
  <si>
    <t>Fabrique de conserves de fruits (y compris les fabriques de confitures)</t>
  </si>
  <si>
    <t>Fabrique de conserves de légumes</t>
  </si>
  <si>
    <t>Lavage de légumes</t>
  </si>
  <si>
    <t>Battage de pois et de pois chiches</t>
  </si>
  <si>
    <t>DISTILLERIES ET LEVURERIES</t>
  </si>
  <si>
    <t>Levureries et distilleries d'alcool à partir de mélasse</t>
  </si>
  <si>
    <t>Distilleries</t>
  </si>
  <si>
    <t>MECANIQUE TRANSFORMATION A FROID ET TRAITEMENT DE SURFACE DES METAUX</t>
  </si>
  <si>
    <t>Mécanique</t>
  </si>
  <si>
    <t>Transformation à froid (laminage, tréfilage, étirage, forgeage, chaudronnerie, …)</t>
  </si>
  <si>
    <t>Traitement de surface - décapage du fer</t>
  </si>
  <si>
    <t>Traitement de surface - usine de galvanisation</t>
  </si>
  <si>
    <t>Traitement de surface (zingage, décapage des non-ferreux)</t>
  </si>
  <si>
    <t>USINE A GAZ</t>
  </si>
  <si>
    <t>PETROCHIMIE ET CHIMIE ORGANIQUE EN DERIVANT</t>
  </si>
  <si>
    <t>INDUSTRIE DE LA GELATINE ET DE LA COLLE</t>
  </si>
  <si>
    <t>FABRICATION DES ENGRAIS</t>
  </si>
  <si>
    <t>Abattoirs de volailles - groupe 1 - si la consommation est basse (moins de 10 m³ par tonne), si le sang est recueilli et s'il n'y a pas de traitement ou transport humide de plumes ou de déchets</t>
  </si>
  <si>
    <t>Abattoirs de volailles - groupe 2 - entreprises qui pratiquent uniquement des traitements et/ou le transport humide de plumes ou de déchets</t>
  </si>
  <si>
    <t>Abattoirs de volailles - groupe 3 - n'appartenant pas aux groupes 1 et 2 - pratiquant le transport humide de plumes et de déchets - entreprises de cuisson de poulets</t>
  </si>
  <si>
    <t>TRANSFORMATION DE LA VIANDE</t>
  </si>
  <si>
    <t>TRAITEMENT DES POMMES DE TERRE</t>
  </si>
  <si>
    <t>Féculerie de pommes de terre</t>
  </si>
  <si>
    <t>Préparation de patates pré-frites</t>
  </si>
  <si>
    <t>HUILES ET GRAISSES ANIMALES ET VEGETALES</t>
  </si>
  <si>
    <t>Fabriques de margarine, de graisses et d'huiles alimentaires (si huile obtenue exclusivement par pressage des grains)</t>
  </si>
  <si>
    <t>Fabriques de margarine, de graisses et d'huiles alimentaires (si huile obtenue non exclusivement par pressage des grains)</t>
  </si>
  <si>
    <t>INSTALLATIONS POUR LE NETTOYAGE DES FUTS</t>
  </si>
  <si>
    <t>INDUSTRIE DU CHLORE</t>
  </si>
  <si>
    <t>PRODUCTION D'HYDROCARBURES CHLORES</t>
  </si>
  <si>
    <t>FABRICATION DE LAQUES ET DE COULEURS</t>
  </si>
  <si>
    <t>PRODUCTION ET TRANSFORMATION D'AMIDON ET FECULERIE (sauf pommes de terre)</t>
  </si>
  <si>
    <t>PRODUCTION D'AGENTS DE SURFACE, SAVONNERIES</t>
  </si>
  <si>
    <t>Fabriques de produits d'entretien et de lubrifiants</t>
  </si>
  <si>
    <t>Fabriques de parfums et de cosmétiques</t>
  </si>
  <si>
    <t>Fabriques de savon où le résidu de relargage est déversé</t>
  </si>
  <si>
    <t>Fabriques de savon où le résidu de relargage n'est pas déversé</t>
  </si>
  <si>
    <t>INDUSTRIES GRAPHIQUES</t>
  </si>
  <si>
    <t>Imprimeries et autres entreprises d'arts graphiques utilisant le papier et le carton</t>
  </si>
  <si>
    <t>INDUSTRIE PHARMACEUTIQUE</t>
  </si>
  <si>
    <t>INDUSTRIE DE L'AMIANTE</t>
  </si>
  <si>
    <t>Amiante et amiante-ciment</t>
  </si>
  <si>
    <t>INDUSTRIE DE DIOXYDE DE TITANE</t>
  </si>
  <si>
    <t>ENTREPRISES DE DESTRUCTION</t>
  </si>
  <si>
    <t>PRODUCTION DE DDT</t>
  </si>
  <si>
    <t>PRODUCTION DE SOUDE</t>
  </si>
  <si>
    <t>TRANSFORMATION DE MATIERES PLASTIQUES</t>
  </si>
  <si>
    <t>HOPITAUX (Au sens des articles 2 et 4 de la loi relative aux hôpitaux et à d’autres établissements de soins, coordonnée le 10 /07/2008)</t>
  </si>
  <si>
    <t>Le linge relatif à l’occupation des lits n'est pas lavé dans l’hôpital</t>
  </si>
  <si>
    <t>Le linge relatif à l’occupation des lits est lavé dans l’hôpital</t>
  </si>
  <si>
    <t>INDUSTRIE MANUFACTURIERE</t>
  </si>
  <si>
    <t>Fabriques de bougies et blanchiment de la cire</t>
  </si>
  <si>
    <t>Emailleries</t>
  </si>
  <si>
    <t>PRODUCTION DE PRODUITS PYROTECHNIQUES</t>
  </si>
  <si>
    <t>INDUSTRIE TEXTILE</t>
  </si>
  <si>
    <t>Filatures</t>
  </si>
  <si>
    <t>Tissages, tapis, feutres, etc…</t>
  </si>
  <si>
    <t>INDUSTRIE CHIMIQUE (hors secteurs déjà définis ailleurs)</t>
  </si>
  <si>
    <t>Chimie minérale et activités de transformations</t>
  </si>
  <si>
    <t>Chimie organique</t>
  </si>
  <si>
    <t>INDUSTRIE DES PRODUITS MINERAUX NON METALLIQUES</t>
  </si>
  <si>
    <t>Terre cuite, chaux, plâtre, matériaux de construction, béton, pierre, etc…</t>
  </si>
  <si>
    <t>Produits céramiques</t>
  </si>
  <si>
    <t>INDUSTRIE DU CAOUTCHOUC</t>
  </si>
  <si>
    <t>Installation de vulcanisation, fabriques de produits en caoutchouc, de câbles et de simili-cuir</t>
  </si>
  <si>
    <t>FABRICATION DE BATTERIES PRIMAIRES ET SECONDAIRES</t>
  </si>
  <si>
    <t>CENTRALES ELECTRIQUES</t>
  </si>
  <si>
    <t>AUTRES INDUSTRIES ALIMENTAIRES</t>
  </si>
  <si>
    <t>Boulangeries-pâtisseries industrielles</t>
  </si>
  <si>
    <t>Torréfaction de cacahuètes</t>
  </si>
  <si>
    <t>Fabriques de cacao, chocolat</t>
  </si>
  <si>
    <t>Casseries d'œufs</t>
  </si>
  <si>
    <t>Fabriques d'autres aliments non désignés ailleurs</t>
  </si>
  <si>
    <t>ATELIERS DE REPARATION D'AUTOMOBILES, DE TRAMS OU DE TRAINS, GARAGES ET CAR-WASH</t>
  </si>
  <si>
    <t>INDUSTRIE METALLURGIQUE (FER)</t>
  </si>
  <si>
    <t>INDUSTRIE METALLURGIQUE (NON-FERREUX)</t>
  </si>
  <si>
    <t>MU</t>
  </si>
  <si>
    <t>CA</t>
  </si>
  <si>
    <t>Menus déroulants</t>
  </si>
  <si>
    <t>1)</t>
  </si>
  <si>
    <t>2)</t>
  </si>
  <si>
    <t>3)</t>
  </si>
  <si>
    <t>Activité exprimée selon l'unité utilisée</t>
  </si>
  <si>
    <t>4)</t>
  </si>
  <si>
    <t>g</t>
  </si>
  <si>
    <t>h</t>
  </si>
  <si>
    <t>i</t>
  </si>
  <si>
    <t>j</t>
  </si>
  <si>
    <t>k</t>
  </si>
  <si>
    <t>l</t>
  </si>
  <si>
    <t>ligne</t>
  </si>
  <si>
    <t>référence</t>
  </si>
  <si>
    <t>Menus déroulants
(faites la sélection dans l'ordre indiqué)</t>
  </si>
  <si>
    <t>entreprise assainie dans laquelle de bonnes précautions ont été prises pour limiter le degré de pollution, telles que recueillir égouttures lait, retenir dépôt de l'eau qui a servi au lavage beurre, recueillir résidus de pressurage, prévenir pertes d'eau.</t>
  </si>
  <si>
    <t>Volume annuel, exprimé en m³, de l'eau usée industrielle déversée (Q1)</t>
  </si>
  <si>
    <t>Volume annuel, exprimé en m³, de l'eau de refroidissement déversée (Q2)</t>
  </si>
  <si>
    <t>N</t>
  </si>
  <si>
    <t>FS taxe</t>
  </si>
  <si>
    <t>C3</t>
  </si>
  <si>
    <t>tarif unitaire</t>
  </si>
  <si>
    <t>€/lit</t>
  </si>
  <si>
    <t>eaux pluviales</t>
  </si>
  <si>
    <t>Les eaux pluviales sont écartées du réseau public d’eaux usées</t>
  </si>
  <si>
    <t>OUI</t>
  </si>
  <si>
    <t>NON</t>
  </si>
  <si>
    <t>N1 = A C1/B; avec B = 1</t>
  </si>
  <si>
    <t>N2 = (Q1. - Q2) C2 + Q2 C3</t>
  </si>
  <si>
    <t>(déclaration en</t>
  </si>
  <si>
    <t>* de certaines spécificités propres aux secteurs des hôpitaux, piscines et piscicultures.</t>
  </si>
  <si>
    <t>DCO_autorisé (kg/j)</t>
  </si>
  <si>
    <t>MES_autorisé (kg/j)</t>
  </si>
  <si>
    <t>Ntot_autorisé (kg/j)</t>
  </si>
  <si>
    <t>Ptot_autorisé (kg/j)</t>
  </si>
  <si>
    <t>Paramètres CVAI (2020)</t>
  </si>
  <si>
    <t>C1/B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</si>
</sst>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80C]_-;\-* #,##0.00\ [$€-80C]_-;_-* &quot;-&quot;??\ [$€-80C]_-;_-@_-"/>
    <numFmt numFmtId="165" formatCode="0.0000"/>
  </numFmts>
  <fonts count="20" x14ac:knownFonts="1">
    <font>
      <sz val="11"/>
      <color theme="1"/>
      <name val="Calibri"/>
      <family val="2"/>
      <scheme val="minor"/>
    </font>
    <font>
      <sz val="11"/>
      <color theme="1"/>
      <name val="Calibri"/>
      <family val="2"/>
      <scheme val="minor"/>
    </font>
    <font>
      <sz val="8"/>
      <color theme="1"/>
      <name val="Calibri"/>
      <family val="2"/>
      <scheme val="minor"/>
    </font>
    <font>
      <b/>
      <sz val="10"/>
      <color indexed="81"/>
      <name val="Tahoma"/>
      <family val="2"/>
    </font>
    <font>
      <sz val="10"/>
      <color indexed="81"/>
      <name val="Tahoma"/>
      <family val="2"/>
    </font>
    <font>
      <sz val="10"/>
      <color indexed="8"/>
      <name val="Arial"/>
      <family val="2"/>
    </font>
    <font>
      <sz val="11"/>
      <color indexed="8"/>
      <name val="Calibri"/>
      <family val="2"/>
    </font>
    <font>
      <b/>
      <sz val="11"/>
      <color theme="1"/>
      <name val="Calibri"/>
      <family val="2"/>
      <scheme val="minor"/>
    </font>
    <font>
      <sz val="11"/>
      <color theme="2"/>
      <name val="Calibri"/>
      <family val="2"/>
      <scheme val="minor"/>
    </font>
    <font>
      <sz val="11"/>
      <color theme="1"/>
      <name val="Times New Roman"/>
      <family val="1"/>
    </font>
    <font>
      <sz val="11"/>
      <color theme="1"/>
      <name val="Calibri"/>
      <family val="2"/>
    </font>
    <font>
      <sz val="9"/>
      <color indexed="81"/>
      <name val="Tahoma"/>
      <family val="2"/>
    </font>
    <font>
      <b/>
      <sz val="9"/>
      <color indexed="81"/>
      <name val="Tahoma"/>
      <family val="2"/>
    </font>
    <font>
      <b/>
      <u/>
      <sz val="11"/>
      <color theme="1"/>
      <name val="Calibri"/>
      <family val="2"/>
      <scheme val="minor"/>
    </font>
    <font>
      <u/>
      <sz val="11"/>
      <color theme="1"/>
      <name val="Calibri"/>
      <family val="2"/>
      <scheme val="minor"/>
    </font>
    <font>
      <sz val="11"/>
      <color theme="0" tint="-0.34998626667073579"/>
      <name val="Calibri"/>
      <family val="2"/>
      <scheme val="minor"/>
    </font>
    <font>
      <sz val="10"/>
      <color rgb="FF000000"/>
      <name val="Calibri"/>
      <family val="2"/>
      <scheme val="minor"/>
    </font>
    <font>
      <sz val="8"/>
      <color theme="1"/>
      <name val="Verdana"/>
      <family val="2"/>
    </font>
    <font>
      <sz val="8"/>
      <color rgb="FF000000"/>
      <name val="Verdana"/>
      <family val="2"/>
    </font>
    <font>
      <sz val="11"/>
      <color theme="1"/>
      <name val="Times New Roman"/>
      <family val="2"/>
    </font>
  </fonts>
  <fills count="11">
    <fill>
      <patternFill patternType="none"/>
    </fill>
    <fill>
      <patternFill patternType="gray125"/>
    </fill>
    <fill>
      <patternFill patternType="solid">
        <fgColor theme="5"/>
        <bgColor indexed="64"/>
      </patternFill>
    </fill>
    <fill>
      <patternFill patternType="solid">
        <fgColor theme="0" tint="-0.14999847407452621"/>
        <bgColor indexed="64"/>
      </patternFill>
    </fill>
    <fill>
      <patternFill patternType="gray0625">
        <fgColor rgb="FF00B050"/>
        <bgColor auto="1"/>
      </patternFill>
    </fill>
    <fill>
      <patternFill patternType="solid">
        <fgColor rgb="FFFFFF00"/>
        <bgColor indexed="64"/>
      </patternFill>
    </fill>
    <fill>
      <patternFill patternType="solid">
        <fgColor theme="3" tint="0.59999389629810485"/>
        <bgColor indexed="64"/>
      </patternFill>
    </fill>
    <fill>
      <patternFill patternType="solid">
        <fgColor rgb="FFA6A6A6"/>
        <bgColor indexed="64"/>
      </patternFill>
    </fill>
    <fill>
      <patternFill patternType="solid">
        <fgColor rgb="FFC0C0C0"/>
        <bgColor indexed="64"/>
      </patternFill>
    </fill>
    <fill>
      <patternFill patternType="gray0625">
        <fgColor theme="5"/>
        <bgColor theme="0"/>
      </patternFill>
    </fill>
    <fill>
      <patternFill patternType="solid">
        <fgColor theme="9"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ck">
        <color auto="1"/>
      </top>
      <bottom style="thick">
        <color auto="1"/>
      </bottom>
      <diagonal/>
    </border>
    <border>
      <left style="thick">
        <color indexed="64"/>
      </left>
      <right style="thick">
        <color indexed="64"/>
      </right>
      <top style="thick">
        <color auto="1"/>
      </top>
      <bottom style="thin">
        <color indexed="64"/>
      </bottom>
      <diagonal/>
    </border>
    <border>
      <left style="thick">
        <color theme="1" tint="0.499984740745262"/>
      </left>
      <right style="thick">
        <color auto="1"/>
      </right>
      <top/>
      <bottom style="thin">
        <color indexed="64"/>
      </bottom>
      <diagonal/>
    </border>
    <border>
      <left/>
      <right style="thin">
        <color indexed="64"/>
      </right>
      <top/>
      <bottom style="thin">
        <color indexed="64"/>
      </bottom>
      <diagonal/>
    </border>
    <border>
      <left style="thin">
        <color indexed="64"/>
      </left>
      <right/>
      <top style="thick">
        <color auto="1"/>
      </top>
      <bottom style="thin">
        <color indexed="64"/>
      </bottom>
      <diagonal/>
    </border>
    <border>
      <left/>
      <right style="thick">
        <color auto="1"/>
      </right>
      <top style="thick">
        <color auto="1"/>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ck">
        <color indexed="64"/>
      </right>
      <top style="thin">
        <color indexed="64"/>
      </top>
      <bottom style="thin">
        <color indexed="64"/>
      </bottom>
      <diagonal/>
    </border>
    <border>
      <left style="thick">
        <color theme="1" tint="0.499984740745262"/>
      </left>
      <right style="thick">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auto="1"/>
      </right>
      <top style="thin">
        <color indexed="64"/>
      </top>
      <bottom style="thin">
        <color indexed="64"/>
      </bottom>
      <diagonal/>
    </border>
    <border>
      <left style="thick">
        <color auto="1"/>
      </left>
      <right/>
      <top style="thick">
        <color auto="1"/>
      </top>
      <bottom style="thick">
        <color auto="1"/>
      </bottom>
      <diagonal/>
    </border>
    <border>
      <left/>
      <right style="thick">
        <color indexed="64"/>
      </right>
      <top style="thick">
        <color auto="1"/>
      </top>
      <bottom style="thick">
        <color auto="1"/>
      </bottom>
      <diagonal/>
    </border>
    <border>
      <left style="thick">
        <color theme="1" tint="0.499984740745262"/>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indexed="64"/>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119">
    <xf numFmtId="0" fontId="0" fillId="0" borderId="0" xfId="0"/>
    <xf numFmtId="0" fontId="0" fillId="0" borderId="0" xfId="0" applyAlignment="1">
      <alignment wrapText="1"/>
    </xf>
    <xf numFmtId="0" fontId="0" fillId="0" borderId="0" xfId="0" applyAlignment="1">
      <alignment horizontal="right" wrapText="1"/>
    </xf>
    <xf numFmtId="0" fontId="0" fillId="0" borderId="0" xfId="0" applyFill="1"/>
    <xf numFmtId="0" fontId="0" fillId="2" borderId="0" xfId="0" applyFill="1"/>
    <xf numFmtId="0" fontId="0" fillId="2" borderId="0" xfId="0" applyFill="1" applyAlignment="1">
      <alignment horizontal="center"/>
    </xf>
    <xf numFmtId="0" fontId="0" fillId="2" borderId="0" xfId="0" applyNumberFormat="1" applyFill="1" applyBorder="1" applyAlignment="1">
      <alignment horizontal="center"/>
    </xf>
    <xf numFmtId="44" fontId="0" fillId="0" borderId="0" xfId="1" applyFont="1"/>
    <xf numFmtId="0" fontId="2" fillId="0" borderId="0" xfId="0" applyFont="1"/>
    <xf numFmtId="44" fontId="0" fillId="0" borderId="0" xfId="0" applyNumberFormat="1"/>
    <xf numFmtId="0" fontId="0" fillId="3" borderId="1" xfId="0" applyFill="1" applyBorder="1" applyAlignment="1">
      <alignment wrapText="1"/>
    </xf>
    <xf numFmtId="3" fontId="0" fillId="4" borderId="1" xfId="1" applyNumberFormat="1" applyFont="1" applyFill="1" applyBorder="1"/>
    <xf numFmtId="0" fontId="0" fillId="0" borderId="1" xfId="0" applyBorder="1"/>
    <xf numFmtId="0" fontId="0" fillId="0" borderId="0" xfId="0" applyFill="1" applyBorder="1"/>
    <xf numFmtId="3" fontId="0" fillId="0" borderId="0" xfId="0" applyNumberFormat="1"/>
    <xf numFmtId="0" fontId="0" fillId="5" borderId="0" xfId="0" applyFill="1"/>
    <xf numFmtId="0" fontId="6" fillId="0" borderId="0" xfId="2" applyFont="1" applyBorder="1" applyAlignment="1">
      <alignment horizontal="right" wrapText="1"/>
    </xf>
    <xf numFmtId="0" fontId="6" fillId="5" borderId="3" xfId="2" applyFont="1" applyFill="1" applyBorder="1" applyAlignment="1">
      <alignment horizontal="right" wrapText="1"/>
    </xf>
    <xf numFmtId="0" fontId="6" fillId="5" borderId="2" xfId="2" applyFont="1" applyFill="1" applyBorder="1" applyAlignment="1">
      <alignment horizontal="right" wrapText="1"/>
    </xf>
    <xf numFmtId="0" fontId="7" fillId="0" borderId="5" xfId="0" applyFont="1" applyBorder="1"/>
    <xf numFmtId="44" fontId="7" fillId="0" borderId="6" xfId="1" applyFont="1" applyBorder="1"/>
    <xf numFmtId="0" fontId="8" fillId="0" borderId="0" xfId="0" applyFont="1" applyAlignment="1">
      <alignment wrapText="1"/>
    </xf>
    <xf numFmtId="164" fontId="7" fillId="0" borderId="6" xfId="0" applyNumberFormat="1" applyFont="1" applyBorder="1"/>
    <xf numFmtId="44" fontId="7" fillId="0" borderId="6" xfId="0" applyNumberFormat="1" applyFont="1" applyBorder="1"/>
    <xf numFmtId="0" fontId="0" fillId="0" borderId="10" xfId="0" applyBorder="1" applyAlignment="1">
      <alignment horizontal="center" wrapText="1"/>
    </xf>
    <xf numFmtId="0" fontId="0" fillId="0" borderId="13" xfId="0" applyBorder="1" applyAlignment="1">
      <alignment horizontal="center" wrapText="1"/>
    </xf>
    <xf numFmtId="0" fontId="0" fillId="0" borderId="14" xfId="0" applyBorder="1" applyAlignment="1">
      <alignment horizontal="center" wrapText="1"/>
    </xf>
    <xf numFmtId="0" fontId="0" fillId="0" borderId="0" xfId="0" applyFill="1" applyBorder="1" applyAlignment="1">
      <alignment horizontal="center" wrapText="1"/>
    </xf>
    <xf numFmtId="0" fontId="0" fillId="0" borderId="1" xfId="0" applyBorder="1" applyAlignment="1">
      <alignment horizontal="center" wrapText="1"/>
    </xf>
    <xf numFmtId="0" fontId="0" fillId="0" borderId="0" xfId="0" applyFont="1" applyBorder="1"/>
    <xf numFmtId="0" fontId="14" fillId="0" borderId="0" xfId="0" applyFont="1"/>
    <xf numFmtId="44" fontId="15" fillId="0" borderId="0" xfId="1" applyFont="1"/>
    <xf numFmtId="44" fontId="7" fillId="0" borderId="0" xfId="1" applyFont="1"/>
    <xf numFmtId="2" fontId="0" fillId="5" borderId="0" xfId="0" applyNumberFormat="1" applyFill="1"/>
    <xf numFmtId="0" fontId="0" fillId="0" borderId="0" xfId="0" applyAlignment="1">
      <alignment horizontal="left"/>
    </xf>
    <xf numFmtId="0" fontId="16" fillId="7" borderId="25" xfId="0" applyFont="1" applyFill="1" applyBorder="1" applyAlignment="1">
      <alignment horizontal="justify" vertical="center" wrapText="1"/>
    </xf>
    <xf numFmtId="0" fontId="16" fillId="7" borderId="26" xfId="0" applyFont="1" applyFill="1" applyBorder="1" applyAlignment="1">
      <alignment horizontal="justify" vertical="center" wrapText="1"/>
    </xf>
    <xf numFmtId="0" fontId="16" fillId="0" borderId="24" xfId="0" applyFont="1" applyBorder="1" applyAlignment="1">
      <alignment horizontal="justify" vertical="center" wrapText="1"/>
    </xf>
    <xf numFmtId="0" fontId="16" fillId="0" borderId="26" xfId="0" applyFont="1" applyBorder="1" applyAlignment="1">
      <alignment horizontal="justify" vertical="center" wrapText="1"/>
    </xf>
    <xf numFmtId="0" fontId="16" fillId="5" borderId="24" xfId="0" applyFont="1" applyFill="1" applyBorder="1" applyAlignment="1">
      <alignment horizontal="justify" vertical="center" wrapText="1"/>
    </xf>
    <xf numFmtId="0" fontId="16" fillId="5" borderId="26" xfId="0" applyFont="1" applyFill="1" applyBorder="1" applyAlignment="1">
      <alignment horizontal="justify" vertical="center" wrapText="1"/>
    </xf>
    <xf numFmtId="0" fontId="18" fillId="8" borderId="28" xfId="0" applyFont="1" applyFill="1" applyBorder="1" applyAlignment="1">
      <alignment vertical="center" wrapText="1"/>
    </xf>
    <xf numFmtId="0" fontId="18" fillId="8" borderId="28" xfId="0" applyFont="1" applyFill="1" applyBorder="1" applyAlignment="1">
      <alignment horizontal="left" vertical="center" wrapText="1" indent="1"/>
    </xf>
    <xf numFmtId="0" fontId="18" fillId="8" borderId="28" xfId="0" applyFont="1" applyFill="1" applyBorder="1" applyAlignment="1">
      <alignment horizontal="center" vertical="center" wrapText="1"/>
    </xf>
    <xf numFmtId="0" fontId="17" fillId="0" borderId="29" xfId="0" applyFont="1" applyBorder="1" applyAlignment="1">
      <alignment vertical="center" wrapText="1"/>
    </xf>
    <xf numFmtId="0" fontId="17" fillId="0" borderId="29" xfId="0" applyFont="1" applyBorder="1" applyAlignment="1">
      <alignment horizontal="left" vertical="center" wrapText="1" indent="1"/>
    </xf>
    <xf numFmtId="0" fontId="17" fillId="8" borderId="27" xfId="0" applyNumberFormat="1" applyFont="1" applyFill="1" applyBorder="1" applyAlignment="1">
      <alignment vertical="center" wrapText="1"/>
    </xf>
    <xf numFmtId="0" fontId="0" fillId="0" borderId="0" xfId="0" applyNumberFormat="1"/>
    <xf numFmtId="0" fontId="17" fillId="0" borderId="28" xfId="0" applyFont="1" applyBorder="1" applyAlignment="1">
      <alignment vertical="center" wrapText="1"/>
    </xf>
    <xf numFmtId="0" fontId="17" fillId="0" borderId="28" xfId="0" applyFont="1" applyBorder="1" applyAlignment="1">
      <alignment horizontal="left" vertical="center" wrapText="1" indent="1"/>
    </xf>
    <xf numFmtId="0" fontId="17" fillId="0" borderId="28" xfId="0" applyFont="1" applyBorder="1" applyAlignment="1">
      <alignment horizontal="center" vertical="center" wrapText="1"/>
    </xf>
    <xf numFmtId="0" fontId="17" fillId="0" borderId="31" xfId="0" applyFont="1" applyBorder="1" applyAlignment="1">
      <alignment vertical="center" wrapText="1"/>
    </xf>
    <xf numFmtId="0" fontId="17" fillId="0" borderId="29" xfId="0" applyFont="1" applyBorder="1" applyAlignment="1">
      <alignment horizontal="center" vertical="center" wrapText="1"/>
    </xf>
    <xf numFmtId="0" fontId="17" fillId="8" borderId="28" xfId="0" applyNumberFormat="1" applyFont="1" applyFill="1" applyBorder="1" applyAlignment="1">
      <alignment vertical="center" wrapText="1"/>
    </xf>
    <xf numFmtId="0" fontId="17" fillId="0" borderId="29" xfId="0" applyNumberFormat="1" applyFont="1" applyBorder="1" applyAlignment="1">
      <alignment vertical="center" wrapText="1"/>
    </xf>
    <xf numFmtId="0" fontId="17" fillId="0" borderId="30" xfId="0" applyFont="1" applyBorder="1" applyAlignment="1">
      <alignment vertical="center" wrapText="1"/>
    </xf>
    <xf numFmtId="0" fontId="17" fillId="0" borderId="32" xfId="0" applyNumberFormat="1" applyFont="1" applyBorder="1" applyAlignment="1">
      <alignment vertical="center" wrapText="1"/>
    </xf>
    <xf numFmtId="0" fontId="17" fillId="0" borderId="0" xfId="0" applyFont="1"/>
    <xf numFmtId="0" fontId="17" fillId="0" borderId="0" xfId="0" applyNumberFormat="1" applyFont="1" applyBorder="1" applyAlignment="1">
      <alignment vertical="center" wrapText="1"/>
    </xf>
    <xf numFmtId="0" fontId="0" fillId="0" borderId="0" xfId="0" applyBorder="1"/>
    <xf numFmtId="0" fontId="17" fillId="8" borderId="0" xfId="0" applyNumberFormat="1" applyFont="1" applyFill="1" applyBorder="1" applyAlignment="1">
      <alignment vertical="center" wrapText="1"/>
    </xf>
    <xf numFmtId="0" fontId="0" fillId="0" borderId="1" xfId="0" applyBorder="1" applyAlignment="1">
      <alignment wrapText="1"/>
    </xf>
    <xf numFmtId="0" fontId="0" fillId="0" borderId="0" xfId="0" applyNumberFormat="1" applyBorder="1"/>
    <xf numFmtId="0" fontId="17" fillId="0" borderId="0" xfId="0" applyFont="1" applyBorder="1"/>
    <xf numFmtId="0" fontId="17" fillId="0" borderId="0" xfId="0" applyNumberFormat="1" applyFont="1" applyFill="1" applyBorder="1" applyAlignment="1">
      <alignment vertical="center" wrapText="1"/>
    </xf>
    <xf numFmtId="0" fontId="0" fillId="9" borderId="1" xfId="0" applyFill="1" applyBorder="1"/>
    <xf numFmtId="0" fontId="0" fillId="9" borderId="1" xfId="0" applyFont="1" applyFill="1" applyBorder="1"/>
    <xf numFmtId="0" fontId="0" fillId="9" borderId="1" xfId="0" applyFill="1" applyBorder="1" applyAlignment="1">
      <alignment vertical="center" wrapText="1"/>
    </xf>
    <xf numFmtId="0" fontId="0" fillId="9" borderId="1" xfId="0" applyFill="1" applyBorder="1" applyAlignment="1">
      <alignment vertical="center"/>
    </xf>
    <xf numFmtId="44" fontId="0" fillId="5" borderId="1" xfId="1" applyFont="1" applyFill="1" applyBorder="1"/>
    <xf numFmtId="44" fontId="15" fillId="0" borderId="0" xfId="1" applyFont="1" applyAlignment="1">
      <alignment horizontal="left"/>
    </xf>
    <xf numFmtId="44" fontId="7" fillId="0" borderId="0" xfId="1" applyFont="1" applyAlignment="1">
      <alignment horizontal="left"/>
    </xf>
    <xf numFmtId="44" fontId="0" fillId="5" borderId="0" xfId="1" applyFont="1" applyFill="1"/>
    <xf numFmtId="165" fontId="0" fillId="0" borderId="0" xfId="0" applyNumberFormat="1"/>
    <xf numFmtId="0" fontId="0" fillId="0" borderId="0" xfId="0" applyAlignment="1">
      <alignment horizontal="right"/>
    </xf>
    <xf numFmtId="0" fontId="0" fillId="0" borderId="0" xfId="0" applyAlignment="1">
      <alignment horizontal="center"/>
    </xf>
    <xf numFmtId="0" fontId="0" fillId="0" borderId="1" xfId="0" applyFill="1" applyBorder="1"/>
    <xf numFmtId="0" fontId="17" fillId="0" borderId="29" xfId="0" applyNumberFormat="1" applyFont="1" applyBorder="1" applyAlignment="1">
      <alignment horizontal="left" vertical="center" wrapText="1"/>
    </xf>
    <xf numFmtId="0" fontId="17" fillId="0" borderId="0" xfId="0" applyNumberFormat="1" applyFont="1" applyBorder="1" applyAlignment="1">
      <alignment horizontal="left" vertical="center" wrapText="1"/>
    </xf>
    <xf numFmtId="0" fontId="0" fillId="6" borderId="0" xfId="0" applyNumberFormat="1" applyFont="1" applyFill="1" applyBorder="1" applyAlignment="1" applyProtection="1">
      <alignment horizontal="center"/>
      <protection locked="0"/>
    </xf>
    <xf numFmtId="0" fontId="0" fillId="6" borderId="16" xfId="0" applyFill="1" applyBorder="1" applyAlignment="1" applyProtection="1">
      <alignment horizontal="center" wrapText="1"/>
      <protection locked="0"/>
    </xf>
    <xf numFmtId="0" fontId="0" fillId="6" borderId="17" xfId="0" applyFill="1" applyBorder="1" applyAlignment="1" applyProtection="1">
      <alignment horizontal="center" wrapText="1"/>
      <protection locked="0"/>
    </xf>
    <xf numFmtId="0" fontId="0" fillId="6" borderId="1" xfId="0" applyFill="1" applyBorder="1" applyAlignment="1" applyProtection="1">
      <alignment horizontal="center" wrapText="1"/>
      <protection locked="0"/>
    </xf>
    <xf numFmtId="0" fontId="0" fillId="6" borderId="18" xfId="0" applyFill="1" applyBorder="1" applyAlignment="1" applyProtection="1">
      <alignment horizontal="center" wrapText="1"/>
      <protection locked="0"/>
    </xf>
    <xf numFmtId="0" fontId="0" fillId="6" borderId="15" xfId="0" applyFill="1" applyBorder="1" applyAlignment="1" applyProtection="1">
      <alignment horizontal="center" wrapText="1"/>
      <protection locked="0"/>
    </xf>
    <xf numFmtId="0" fontId="0" fillId="6" borderId="1" xfId="0" applyNumberFormat="1" applyFont="1" applyFill="1" applyBorder="1" applyAlignment="1" applyProtection="1">
      <alignment horizontal="left"/>
      <protection locked="0"/>
    </xf>
    <xf numFmtId="0" fontId="0" fillId="6" borderId="1" xfId="0" applyNumberFormat="1" applyFont="1" applyFill="1" applyBorder="1" applyAlignment="1" applyProtection="1">
      <alignment horizontal="left" vertical="center" wrapText="1"/>
      <protection locked="0"/>
    </xf>
    <xf numFmtId="2" fontId="16" fillId="0" borderId="26" xfId="0" applyNumberFormat="1" applyFont="1" applyBorder="1" applyAlignment="1">
      <alignment horizontal="justify" vertical="center"/>
    </xf>
    <xf numFmtId="2" fontId="16" fillId="5" borderId="26" xfId="0" applyNumberFormat="1" applyFont="1" applyFill="1" applyBorder="1" applyAlignment="1">
      <alignment horizontal="justify" vertical="center"/>
    </xf>
    <xf numFmtId="0" fontId="0" fillId="10" borderId="0" xfId="0" applyFill="1"/>
    <xf numFmtId="44" fontId="0" fillId="10" borderId="0" xfId="1" applyFont="1" applyFill="1"/>
    <xf numFmtId="0" fontId="0" fillId="0" borderId="1" xfId="0" applyBorder="1" applyAlignment="1">
      <alignment horizontal="left" wrapText="1"/>
    </xf>
    <xf numFmtId="0" fontId="0" fillId="6" borderId="33" xfId="0" applyNumberFormat="1" applyFont="1" applyFill="1" applyBorder="1" applyAlignment="1" applyProtection="1">
      <alignment horizontal="center" vertical="center"/>
      <protection locked="0"/>
    </xf>
    <xf numFmtId="0" fontId="0" fillId="6" borderId="13" xfId="0" applyNumberFormat="1" applyFont="1" applyFill="1" applyBorder="1" applyAlignment="1" applyProtection="1">
      <alignment horizontal="center" vertical="center"/>
      <protection locked="0"/>
    </xf>
    <xf numFmtId="0" fontId="0" fillId="0" borderId="8" xfId="0"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9" xfId="0" applyBorder="1" applyAlignment="1">
      <alignment horizontal="center" vertical="center" wrapText="1"/>
    </xf>
    <xf numFmtId="0" fontId="0" fillId="0" borderId="11" xfId="0" applyBorder="1" applyAlignment="1">
      <alignment horizontal="center" wrapText="1"/>
    </xf>
    <xf numFmtId="0" fontId="0" fillId="0" borderId="12" xfId="0" applyBorder="1" applyAlignment="1">
      <alignment horizontal="center" wrapText="1"/>
    </xf>
    <xf numFmtId="0" fontId="0" fillId="6" borderId="18" xfId="0" applyFill="1" applyBorder="1" applyAlignment="1" applyProtection="1">
      <alignment horizontal="center" wrapText="1"/>
      <protection locked="0"/>
    </xf>
    <xf numFmtId="0" fontId="0" fillId="6" borderId="19" xfId="0" applyFill="1" applyBorder="1" applyAlignment="1" applyProtection="1">
      <alignment horizontal="center" wrapText="1"/>
      <protection locked="0"/>
    </xf>
    <xf numFmtId="0" fontId="0" fillId="0" borderId="20" xfId="0" applyBorder="1" applyAlignment="1">
      <alignment horizontal="center" wrapText="1"/>
    </xf>
    <xf numFmtId="0" fontId="0" fillId="0" borderId="7" xfId="0" applyBorder="1" applyAlignment="1">
      <alignment horizontal="center" wrapText="1"/>
    </xf>
    <xf numFmtId="0" fontId="0" fillId="0" borderId="21" xfId="0" applyBorder="1" applyAlignment="1">
      <alignment horizontal="center" wrapText="1"/>
    </xf>
    <xf numFmtId="0" fontId="15" fillId="0" borderId="0" xfId="0" applyFont="1" applyAlignment="1">
      <alignment horizontal="left"/>
    </xf>
    <xf numFmtId="0" fontId="7" fillId="0" borderId="0" xfId="0" applyFont="1" applyAlignment="1">
      <alignment horizontal="left"/>
    </xf>
    <xf numFmtId="0" fontId="13" fillId="0" borderId="0" xfId="0" applyFont="1" applyAlignment="1">
      <alignment horizontal="left"/>
    </xf>
    <xf numFmtId="0" fontId="0" fillId="0" borderId="0" xfId="0" applyAlignment="1">
      <alignment horizontal="right"/>
    </xf>
    <xf numFmtId="0" fontId="9" fillId="0" borderId="1" xfId="0" applyFont="1" applyBorder="1" applyAlignment="1">
      <alignment horizontal="center" vertical="top" wrapText="1" shrinkToFit="1"/>
    </xf>
    <xf numFmtId="0" fontId="19" fillId="0" borderId="1" xfId="0" applyFont="1" applyBorder="1" applyAlignment="1">
      <alignment horizontal="center" vertical="top" shrinkToFit="1"/>
    </xf>
    <xf numFmtId="0" fontId="9" fillId="0" borderId="1" xfId="0" applyFont="1" applyBorder="1" applyAlignment="1">
      <alignment horizontal="center" vertical="top" shrinkToFit="1"/>
    </xf>
    <xf numFmtId="0" fontId="9" fillId="6" borderId="1" xfId="0" applyFont="1" applyFill="1" applyBorder="1" applyAlignment="1" applyProtection="1">
      <alignment horizontal="center"/>
      <protection locked="0"/>
    </xf>
    <xf numFmtId="0" fontId="0" fillId="9" borderId="1" xfId="0" applyFill="1" applyBorder="1" applyAlignment="1">
      <alignment horizontal="right" vertical="center" textRotation="90" wrapText="1"/>
    </xf>
    <xf numFmtId="0" fontId="16" fillId="7" borderId="23" xfId="0" applyFont="1" applyFill="1" applyBorder="1" applyAlignment="1">
      <alignment horizontal="justify" vertical="center" wrapText="1"/>
    </xf>
    <xf numFmtId="0" fontId="16" fillId="7" borderId="24" xfId="0" applyFont="1" applyFill="1" applyBorder="1" applyAlignment="1">
      <alignment horizontal="justify" vertical="center" wrapText="1"/>
    </xf>
    <xf numFmtId="0" fontId="0" fillId="0" borderId="0" xfId="0" applyAlignment="1">
      <alignment horizontal="center" wrapText="1"/>
    </xf>
    <xf numFmtId="0" fontId="0" fillId="0" borderId="4" xfId="0" applyBorder="1" applyAlignment="1">
      <alignment horizontal="center" wrapText="1"/>
    </xf>
    <xf numFmtId="0" fontId="0" fillId="0" borderId="0" xfId="0" applyAlignment="1">
      <alignment horizontal="center"/>
    </xf>
  </cellXfs>
  <cellStyles count="3">
    <cellStyle name="Monétaire" xfId="1" builtinId="4"/>
    <cellStyle name="Normal" xfId="0" builtinId="0"/>
    <cellStyle name="Normal_Feuil1" xfId="2" xr:uid="{88BCCABC-BE54-4CB0-AC7B-A20F0BCE8CF4}"/>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STAELENS Nicolas" id="{D787ADE1-BA84-4DFB-8CCF-935FA3C2DD6F}" userId="S::nicolas.staelens@spge.be::7b0b87b3-e8b9-4d3a-b65a-e54f3466d535"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5" dT="2021-04-01T08:09:09.80" personId="{D787ADE1-BA84-4DFB-8CCF-935FA3C2DD6F}" id="{B42668F4-59B6-4E43-A3E5-C587DE739B9B}">
    <text>cf memento d'interprétation taxe SPGE-DIEOF</text>
  </threadedComment>
</ThreadedComments>
</file>

<file path=xl/threadedComments/threadedComment2.xml><?xml version="1.0" encoding="utf-8"?>
<ThreadedComments xmlns="http://schemas.microsoft.com/office/spreadsheetml/2018/threadedcomments" xmlns:x="http://schemas.openxmlformats.org/spreadsheetml/2006/main">
  <threadedComment ref="F5" dT="2019-09-05T08:34:13.10" personId="{D787ADE1-BA84-4DFB-8CCF-935FA3C2DD6F}" id="{6E4D06AC-910B-4E60-A04C-85834BE06A66}">
    <text>https://etaamb.openjustice.be/fr/document_n2021205784.html</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BC991-0C4B-4DA9-BDDE-6E08E6FD5AFF}">
  <sheetPr codeName="Feuil1"/>
  <dimension ref="A1:R27"/>
  <sheetViews>
    <sheetView tabSelected="1" zoomScaleNormal="100" workbookViewId="0">
      <selection sqref="A1:D1"/>
    </sheetView>
  </sheetViews>
  <sheetFormatPr baseColWidth="10" defaultRowHeight="14.4" x14ac:dyDescent="0.3"/>
  <cols>
    <col min="1" max="1" width="13.6640625" customWidth="1"/>
    <col min="2" max="2" width="12.88671875" customWidth="1"/>
    <col min="3" max="3" width="13.109375" customWidth="1"/>
    <col min="4" max="4" width="13.88671875" customWidth="1"/>
    <col min="5" max="5" width="13.6640625" customWidth="1"/>
    <col min="18" max="18" width="21.6640625" customWidth="1"/>
  </cols>
  <sheetData>
    <row r="1" spans="1:18" x14ac:dyDescent="0.3">
      <c r="A1" s="107" t="s">
        <v>137</v>
      </c>
      <c r="B1" s="107"/>
      <c r="C1" s="107"/>
      <c r="D1" s="107"/>
    </row>
    <row r="2" spans="1:18" x14ac:dyDescent="0.3">
      <c r="A2" t="s">
        <v>138</v>
      </c>
    </row>
    <row r="3" spans="1:18" x14ac:dyDescent="0.3">
      <c r="A3" t="s">
        <v>195</v>
      </c>
    </row>
    <row r="5" spans="1:18" x14ac:dyDescent="0.3">
      <c r="A5" s="30" t="s">
        <v>139</v>
      </c>
    </row>
    <row r="6" spans="1:18" x14ac:dyDescent="0.3">
      <c r="A6" s="30"/>
    </row>
    <row r="7" spans="1:18" x14ac:dyDescent="0.3">
      <c r="A7" s="29" t="s">
        <v>133</v>
      </c>
      <c r="B7" s="29"/>
      <c r="C7" s="29"/>
      <c r="D7" s="79"/>
      <c r="E7" s="29" t="s">
        <v>134</v>
      </c>
    </row>
    <row r="9" spans="1:18" ht="15" thickBot="1" x14ac:dyDescent="0.35">
      <c r="A9" t="s">
        <v>129</v>
      </c>
    </row>
    <row r="10" spans="1:18" ht="30" customHeight="1" thickTop="1" thickBot="1" x14ac:dyDescent="0.35">
      <c r="A10" s="96" t="s">
        <v>132</v>
      </c>
      <c r="B10" s="102" t="s">
        <v>118</v>
      </c>
      <c r="C10" s="103"/>
      <c r="D10" s="103"/>
      <c r="E10" s="103"/>
      <c r="F10" s="103"/>
      <c r="G10" s="103"/>
      <c r="H10" s="103"/>
      <c r="I10" s="103"/>
      <c r="J10" s="103"/>
      <c r="K10" s="103"/>
      <c r="L10" s="103"/>
      <c r="M10" s="103"/>
      <c r="N10" s="103"/>
      <c r="O10" s="103"/>
      <c r="P10" s="104"/>
      <c r="Q10" s="94" t="s">
        <v>119</v>
      </c>
      <c r="R10" s="94" t="s">
        <v>130</v>
      </c>
    </row>
    <row r="11" spans="1:18" ht="15" thickTop="1" x14ac:dyDescent="0.3">
      <c r="A11" s="97"/>
      <c r="B11" s="24" t="s">
        <v>120</v>
      </c>
      <c r="C11" s="98" t="s">
        <v>121</v>
      </c>
      <c r="D11" s="99"/>
      <c r="E11" s="24" t="s">
        <v>122</v>
      </c>
      <c r="F11" s="25" t="s">
        <v>90</v>
      </c>
      <c r="G11" s="25" t="s">
        <v>89</v>
      </c>
      <c r="H11" s="25" t="s">
        <v>91</v>
      </c>
      <c r="I11" s="25" t="s">
        <v>92</v>
      </c>
      <c r="J11" s="25" t="s">
        <v>123</v>
      </c>
      <c r="K11" s="25" t="s">
        <v>93</v>
      </c>
      <c r="L11" s="25" t="s">
        <v>88</v>
      </c>
      <c r="M11" s="25" t="s">
        <v>94</v>
      </c>
      <c r="N11" s="25" t="s">
        <v>124</v>
      </c>
      <c r="O11" s="26" t="s">
        <v>125</v>
      </c>
      <c r="P11" s="26" t="s">
        <v>126</v>
      </c>
      <c r="Q11" s="95"/>
      <c r="R11" s="95"/>
    </row>
    <row r="12" spans="1:18" x14ac:dyDescent="0.3">
      <c r="A12" s="80"/>
      <c r="B12" s="81"/>
      <c r="C12" s="100"/>
      <c r="D12" s="101"/>
      <c r="E12" s="81"/>
      <c r="F12" s="82"/>
      <c r="G12" s="82"/>
      <c r="H12" s="82"/>
      <c r="I12" s="82"/>
      <c r="J12" s="82"/>
      <c r="K12" s="82"/>
      <c r="L12" s="82"/>
      <c r="M12" s="82"/>
      <c r="N12" s="82"/>
      <c r="O12" s="83"/>
      <c r="P12" s="83"/>
      <c r="Q12" s="84"/>
      <c r="R12" s="84"/>
    </row>
    <row r="13" spans="1:18" s="3" customFormat="1" x14ac:dyDescent="0.3">
      <c r="A13" s="27"/>
      <c r="B13" s="27"/>
      <c r="C13" s="27"/>
      <c r="D13" s="27"/>
      <c r="E13" s="27"/>
      <c r="F13" s="27"/>
      <c r="G13" s="27"/>
      <c r="H13" s="27"/>
      <c r="I13" s="27"/>
      <c r="J13" s="27"/>
      <c r="K13" s="27"/>
      <c r="L13" s="27"/>
      <c r="M13" s="27"/>
      <c r="N13" s="27"/>
      <c r="O13" s="27"/>
      <c r="P13" s="27"/>
      <c r="Q13" s="27"/>
      <c r="R13" s="27"/>
    </row>
    <row r="14" spans="1:18" x14ac:dyDescent="0.3">
      <c r="A14" t="s">
        <v>131</v>
      </c>
      <c r="F14" t="s">
        <v>441</v>
      </c>
    </row>
    <row r="15" spans="1:18" x14ac:dyDescent="0.3">
      <c r="A15" s="109" t="s">
        <v>128</v>
      </c>
      <c r="B15" s="109"/>
      <c r="C15" s="110" t="s">
        <v>127</v>
      </c>
      <c r="D15" s="111"/>
      <c r="F15" s="91" t="s">
        <v>442</v>
      </c>
      <c r="G15" s="91"/>
      <c r="H15" s="91"/>
      <c r="I15" s="92"/>
    </row>
    <row r="16" spans="1:18" x14ac:dyDescent="0.3">
      <c r="A16" s="109"/>
      <c r="B16" s="109"/>
      <c r="C16" s="111"/>
      <c r="D16" s="111"/>
      <c r="F16" s="91"/>
      <c r="G16" s="91"/>
      <c r="H16" s="91"/>
      <c r="I16" s="93"/>
    </row>
    <row r="17" spans="1:9" x14ac:dyDescent="0.3">
      <c r="A17" s="112"/>
      <c r="B17" s="112"/>
      <c r="C17" s="112"/>
      <c r="D17" s="112"/>
    </row>
    <row r="19" spans="1:9" x14ac:dyDescent="0.3">
      <c r="A19" t="s">
        <v>136</v>
      </c>
    </row>
    <row r="20" spans="1:9" ht="28.8" x14ac:dyDescent="0.3">
      <c r="A20" s="28" t="s">
        <v>135</v>
      </c>
      <c r="B20" s="28" t="s">
        <v>449</v>
      </c>
      <c r="C20" s="28" t="s">
        <v>450</v>
      </c>
      <c r="D20" s="28" t="s">
        <v>451</v>
      </c>
      <c r="E20" s="28" t="s">
        <v>452</v>
      </c>
      <c r="G20" s="27"/>
      <c r="I20" s="27"/>
    </row>
    <row r="21" spans="1:9" x14ac:dyDescent="0.3">
      <c r="A21" s="82"/>
      <c r="B21" s="82"/>
      <c r="C21" s="82"/>
      <c r="D21" s="82"/>
      <c r="E21" s="82"/>
      <c r="G21" s="27"/>
      <c r="I21" s="27"/>
    </row>
    <row r="23" spans="1:9" x14ac:dyDescent="0.3">
      <c r="A23" s="30" t="s">
        <v>140</v>
      </c>
      <c r="B23" s="108" t="s">
        <v>144</v>
      </c>
      <c r="C23" s="108"/>
      <c r="D23" s="75">
        <v>2021</v>
      </c>
      <c r="E23" t="s">
        <v>447</v>
      </c>
      <c r="F23" t="str">
        <f>_xlfn.CONCAT(D23+1,")")</f>
        <v>2022)</v>
      </c>
    </row>
    <row r="25" spans="1:9" x14ac:dyDescent="0.3">
      <c r="A25" s="105" t="s">
        <v>141</v>
      </c>
      <c r="B25" s="105"/>
      <c r="C25" s="105"/>
      <c r="D25" s="105"/>
      <c r="E25" s="31">
        <f>taxe_FC!B1</f>
        <v>0</v>
      </c>
      <c r="H25" s="8" t="s">
        <v>115</v>
      </c>
    </row>
    <row r="26" spans="1:9" x14ac:dyDescent="0.3">
      <c r="A26" s="105" t="s">
        <v>142</v>
      </c>
      <c r="B26" s="105"/>
      <c r="C26" s="105"/>
      <c r="D26" s="105"/>
      <c r="E26" s="31">
        <f>CVAI_FC!B7</f>
        <v>0</v>
      </c>
      <c r="H26" s="8" t="s">
        <v>116</v>
      </c>
    </row>
    <row r="27" spans="1:9" x14ac:dyDescent="0.3">
      <c r="A27" s="106" t="s">
        <v>143</v>
      </c>
      <c r="B27" s="106"/>
      <c r="C27" s="106"/>
      <c r="D27" s="106"/>
      <c r="E27" s="32">
        <f>MIN(E25:E26)</f>
        <v>0</v>
      </c>
      <c r="H27" s="8" t="s">
        <v>117</v>
      </c>
    </row>
  </sheetData>
  <mergeCells count="17">
    <mergeCell ref="A25:D25"/>
    <mergeCell ref="A26:D26"/>
    <mergeCell ref="A27:D27"/>
    <mergeCell ref="A1:D1"/>
    <mergeCell ref="B23:C23"/>
    <mergeCell ref="A15:B16"/>
    <mergeCell ref="C15:D16"/>
    <mergeCell ref="A17:B17"/>
    <mergeCell ref="C17:D17"/>
    <mergeCell ref="F15:H16"/>
    <mergeCell ref="I15:I16"/>
    <mergeCell ref="R10:R11"/>
    <mergeCell ref="A10:A11"/>
    <mergeCell ref="Q10:Q11"/>
    <mergeCell ref="C11:D11"/>
    <mergeCell ref="C12:D12"/>
    <mergeCell ref="B10:P10"/>
  </mergeCells>
  <pageMargins left="0.7" right="0.7" top="0.75" bottom="0.75" header="0.3" footer="0.3"/>
  <pageSetup paperSize="9" orientation="portrait" copies="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35C67C-51D6-4426-8AC7-C4C0CEBE1EED}">
          <x14:formula1>
            <xm:f>données_FC!$D$27:$D$28</xm:f>
          </x14:formula1>
          <xm:sqref>I15:I16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DF2F8-04A5-4E1B-BEEF-2DD52A00DADC}">
  <sheetPr codeName="Feuil2"/>
  <dimension ref="A1:D20"/>
  <sheetViews>
    <sheetView zoomScaleNormal="100" workbookViewId="0">
      <selection sqref="A1:D1"/>
    </sheetView>
  </sheetViews>
  <sheetFormatPr baseColWidth="10" defaultRowHeight="14.4" x14ac:dyDescent="0.3"/>
  <cols>
    <col min="1" max="1" width="17.33203125" customWidth="1"/>
    <col min="2" max="2" width="2.5546875" bestFit="1" customWidth="1"/>
    <col min="3" max="3" width="35.6640625" customWidth="1"/>
    <col min="4" max="4" width="138.5546875" customWidth="1"/>
  </cols>
  <sheetData>
    <row r="1" spans="1:4" x14ac:dyDescent="0.3">
      <c r="A1" s="107" t="s">
        <v>137</v>
      </c>
      <c r="B1" s="107"/>
      <c r="C1" s="107"/>
      <c r="D1" s="107"/>
    </row>
    <row r="2" spans="1:4" x14ac:dyDescent="0.3">
      <c r="A2" t="s">
        <v>138</v>
      </c>
    </row>
    <row r="3" spans="1:4" x14ac:dyDescent="0.3">
      <c r="A3" t="s">
        <v>196</v>
      </c>
    </row>
    <row r="5" spans="1:4" x14ac:dyDescent="0.3">
      <c r="A5" s="30" t="s">
        <v>139</v>
      </c>
    </row>
    <row r="6" spans="1:4" x14ac:dyDescent="0.3">
      <c r="A6" s="30"/>
    </row>
    <row r="7" spans="1:4" x14ac:dyDescent="0.3">
      <c r="A7" s="113" t="s">
        <v>432</v>
      </c>
      <c r="B7" s="65" t="s">
        <v>419</v>
      </c>
      <c r="C7" s="66" t="s">
        <v>197</v>
      </c>
      <c r="D7" s="85"/>
    </row>
    <row r="8" spans="1:4" ht="72" customHeight="1" x14ac:dyDescent="0.3">
      <c r="A8" s="113"/>
      <c r="B8" s="68" t="s">
        <v>420</v>
      </c>
      <c r="C8" s="67" t="s">
        <v>292</v>
      </c>
      <c r="D8" s="86"/>
    </row>
    <row r="9" spans="1:4" x14ac:dyDescent="0.3">
      <c r="A9" s="113"/>
      <c r="B9" s="65" t="s">
        <v>421</v>
      </c>
      <c r="C9" s="65" t="s">
        <v>199</v>
      </c>
      <c r="D9" s="85"/>
    </row>
    <row r="10" spans="1:4" x14ac:dyDescent="0.3">
      <c r="B10" s="12" t="s">
        <v>423</v>
      </c>
      <c r="C10" s="12" t="s">
        <v>422</v>
      </c>
      <c r="D10" s="85"/>
    </row>
    <row r="11" spans="1:4" ht="28.8" x14ac:dyDescent="0.3">
      <c r="B11" s="12"/>
      <c r="C11" s="61" t="s">
        <v>434</v>
      </c>
      <c r="D11" s="85"/>
    </row>
    <row r="12" spans="1:4" ht="28.8" x14ac:dyDescent="0.3">
      <c r="B12" s="12"/>
      <c r="C12" s="61" t="s">
        <v>435</v>
      </c>
      <c r="D12" s="85"/>
    </row>
    <row r="13" spans="1:4" x14ac:dyDescent="0.3">
      <c r="D13" s="8" t="s">
        <v>115</v>
      </c>
    </row>
    <row r="14" spans="1:4" x14ac:dyDescent="0.3">
      <c r="D14" s="8" t="s">
        <v>116</v>
      </c>
    </row>
    <row r="15" spans="1:4" x14ac:dyDescent="0.3">
      <c r="D15" s="8" t="s">
        <v>448</v>
      </c>
    </row>
    <row r="16" spans="1:4" x14ac:dyDescent="0.3">
      <c r="A16" s="30" t="s">
        <v>140</v>
      </c>
      <c r="B16" s="108" t="s">
        <v>144</v>
      </c>
      <c r="C16" s="108"/>
      <c r="D16" s="34">
        <f>Formule_complete!D23</f>
        <v>2021</v>
      </c>
    </row>
    <row r="17" spans="1:4" x14ac:dyDescent="0.3">
      <c r="C17" s="74" t="s">
        <v>447</v>
      </c>
      <c r="D17" t="str">
        <f>_xlfn.CONCAT(D16+1,")")</f>
        <v>2022)</v>
      </c>
    </row>
    <row r="18" spans="1:4" x14ac:dyDescent="0.3">
      <c r="A18" s="105" t="s">
        <v>141</v>
      </c>
      <c r="B18" s="105"/>
      <c r="C18" s="105"/>
      <c r="D18" s="70" t="str">
        <f>IFERROR(taxe_FS!AK5,"")</f>
        <v/>
      </c>
    </row>
    <row r="19" spans="1:4" x14ac:dyDescent="0.3">
      <c r="A19" s="105" t="s">
        <v>142</v>
      </c>
      <c r="B19" s="105"/>
      <c r="C19" s="105"/>
      <c r="D19" s="70" t="str">
        <f>IFERROR(CVAI_CU!G2,"")</f>
        <v/>
      </c>
    </row>
    <row r="20" spans="1:4" x14ac:dyDescent="0.3">
      <c r="A20" s="106" t="s">
        <v>143</v>
      </c>
      <c r="B20" s="106"/>
      <c r="C20" s="106"/>
      <c r="D20" s="71">
        <f>MIN(D18:D19)</f>
        <v>0</v>
      </c>
    </row>
  </sheetData>
  <sheetProtection algorithmName="SHA-512" hashValue="LDgZQ1cizx9KiYUHb0WOiL9bx29xqXNb4AlDZdscccJDC9S3L1VTvRXoFHeD0GWYMw7QWvTCz3HLAXZ3lm8CBQ==" saltValue="i6Zqi47lSM9NfzuK/ApoyQ==" spinCount="100000" sheet="1" objects="1" scenarios="1"/>
  <mergeCells count="6">
    <mergeCell ref="A18:C18"/>
    <mergeCell ref="A19:C19"/>
    <mergeCell ref="A20:C20"/>
    <mergeCell ref="A1:D1"/>
    <mergeCell ref="A7:A9"/>
    <mergeCell ref="B16:C16"/>
  </mergeCells>
  <dataValidations count="1">
    <dataValidation type="list" allowBlank="1" showInputMessage="1" showErrorMessage="1" sqref="D7" xr:uid="{EE0208F1-EF96-4F67-A031-96923C66BF9F}">
      <formula1>CA</formula1>
    </dataValidation>
  </dataValidations>
  <pageMargins left="0.7" right="0.7" top="0.75" bottom="0.75" header="0.3" footer="0.3"/>
  <pageSetup paperSize="9" orientation="portrait" copies="3" r:id="rId1"/>
  <extLst>
    <ext xmlns:x14="http://schemas.microsoft.com/office/spreadsheetml/2009/9/main" uri="{CCE6A557-97BC-4b89-ADB6-D9C93CAAB3DF}">
      <x14:dataValidations xmlns:xm="http://schemas.microsoft.com/office/excel/2006/main" count="2">
        <x14:dataValidation type="list" allowBlank="1" showInputMessage="1" showErrorMessage="1" xr:uid="{CA2FF69C-9D5B-4B18-8BD5-861335C8FD49}">
          <x14:formula1>
            <xm:f>INDIRECT(taxe_FS!$AC$5)</xm:f>
          </x14:formula1>
          <xm:sqref>D8</xm:sqref>
        </x14:dataValidation>
        <x14:dataValidation type="list" allowBlank="1" showInputMessage="1" showErrorMessage="1" xr:uid="{EB623639-9BC6-4AA2-8EF9-4A0458AA783A}">
          <x14:formula1>
            <xm:f>INDIRECT(taxe_FS!$AD$5)</xm:f>
          </x14:formula1>
          <xm:sqref>D9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944E2-A3B7-46C3-89F2-5F897E45A91B}">
  <sheetPr codeName="Feuil3">
    <tabColor rgb="FF92D050"/>
  </sheetPr>
  <dimension ref="A1:G48"/>
  <sheetViews>
    <sheetView workbookViewId="0">
      <selection sqref="A1:D1"/>
    </sheetView>
  </sheetViews>
  <sheetFormatPr baseColWidth="10" defaultRowHeight="14.4" x14ac:dyDescent="0.3"/>
  <cols>
    <col min="1" max="1" width="7.33203125" bestFit="1" customWidth="1"/>
    <col min="2" max="2" width="27.6640625" bestFit="1" customWidth="1"/>
    <col min="3" max="3" width="14.6640625" bestFit="1" customWidth="1"/>
  </cols>
  <sheetData>
    <row r="1" spans="1:7" ht="27.6" x14ac:dyDescent="0.3">
      <c r="A1" s="114" t="s">
        <v>145</v>
      </c>
      <c r="B1" s="114" t="s">
        <v>146</v>
      </c>
      <c r="C1" s="35" t="s">
        <v>147</v>
      </c>
      <c r="E1" t="s">
        <v>145</v>
      </c>
      <c r="F1" t="s">
        <v>439</v>
      </c>
      <c r="G1" t="s">
        <v>100</v>
      </c>
    </row>
    <row r="2" spans="1:7" ht="15" thickBot="1" x14ac:dyDescent="0.35">
      <c r="A2" s="115"/>
      <c r="B2" s="115"/>
      <c r="C2" s="36" t="s">
        <v>148</v>
      </c>
      <c r="E2" t="e">
        <f>VLOOKUP(Form_simplifiee_couts_unitaires!D7,taxe_FS!M:N,2,FALSE)</f>
        <v>#N/A</v>
      </c>
      <c r="F2" t="e">
        <f>VLOOKUP(E2*1,A:C,3,FALSE)</f>
        <v>#N/A</v>
      </c>
      <c r="G2" s="72" t="e">
        <f>ROUNDUP(IF(E2*1=66,F2*Form_simplifiee_couts_unitaires!D10,Form_simplifiee_couts_unitaires!D11*CVAI_CU!F2),2)</f>
        <v>#N/A</v>
      </c>
    </row>
    <row r="3" spans="1:7" ht="15" thickBot="1" x14ac:dyDescent="0.35">
      <c r="A3" s="37">
        <v>1</v>
      </c>
      <c r="B3" s="38" t="s">
        <v>149</v>
      </c>
      <c r="C3" s="87">
        <v>7.4538347107438012</v>
      </c>
      <c r="G3" s="73"/>
    </row>
    <row r="4" spans="1:7" ht="15" thickBot="1" x14ac:dyDescent="0.35">
      <c r="A4" s="37">
        <v>2</v>
      </c>
      <c r="B4" s="38" t="s">
        <v>150</v>
      </c>
      <c r="C4" s="87">
        <v>1.125507805325987</v>
      </c>
    </row>
    <row r="5" spans="1:7" ht="15" thickBot="1" x14ac:dyDescent="0.35">
      <c r="A5" s="37">
        <v>3</v>
      </c>
      <c r="B5" s="38" t="s">
        <v>151</v>
      </c>
      <c r="C5" s="87">
        <v>0.66893388429752054</v>
      </c>
    </row>
    <row r="6" spans="1:7" ht="15" thickBot="1" x14ac:dyDescent="0.35">
      <c r="A6" s="37">
        <v>4</v>
      </c>
      <c r="B6" s="38" t="s">
        <v>152</v>
      </c>
      <c r="C6" s="87">
        <v>2.6651175390266295</v>
      </c>
    </row>
    <row r="7" spans="1:7" ht="15" thickBot="1" x14ac:dyDescent="0.35">
      <c r="A7" s="37">
        <v>5</v>
      </c>
      <c r="B7" s="38" t="s">
        <v>153</v>
      </c>
      <c r="C7" s="87">
        <v>3.96051331496786</v>
      </c>
    </row>
    <row r="8" spans="1:7" ht="15" thickBot="1" x14ac:dyDescent="0.35">
      <c r="A8" s="37">
        <v>6</v>
      </c>
      <c r="B8" s="38" t="s">
        <v>154</v>
      </c>
      <c r="C8" s="87">
        <v>4.5445032139577588</v>
      </c>
    </row>
    <row r="9" spans="1:7" ht="15" thickBot="1" x14ac:dyDescent="0.35">
      <c r="A9" s="37">
        <v>7</v>
      </c>
      <c r="B9" s="38" t="s">
        <v>155</v>
      </c>
      <c r="C9" s="87">
        <v>1.8475316804407713</v>
      </c>
    </row>
    <row r="10" spans="1:7" ht="15" thickBot="1" x14ac:dyDescent="0.35">
      <c r="A10" s="37">
        <v>10</v>
      </c>
      <c r="B10" s="38" t="s">
        <v>156</v>
      </c>
      <c r="C10" s="87">
        <v>2.2828696051423321</v>
      </c>
    </row>
    <row r="11" spans="1:7" ht="15" thickBot="1" x14ac:dyDescent="0.35">
      <c r="A11" s="37">
        <v>12</v>
      </c>
      <c r="B11" s="38" t="s">
        <v>192</v>
      </c>
      <c r="C11" s="87">
        <v>3.3659054178145085</v>
      </c>
    </row>
    <row r="12" spans="1:7" ht="15" thickBot="1" x14ac:dyDescent="0.35">
      <c r="A12" s="37">
        <v>13</v>
      </c>
      <c r="B12" s="38" t="s">
        <v>157</v>
      </c>
      <c r="C12" s="87">
        <v>2.6651175390266295</v>
      </c>
    </row>
    <row r="13" spans="1:7" ht="15" thickBot="1" x14ac:dyDescent="0.35">
      <c r="A13" s="37">
        <v>14</v>
      </c>
      <c r="B13" s="38" t="s">
        <v>158</v>
      </c>
      <c r="C13" s="87">
        <v>4.6719191919191907</v>
      </c>
    </row>
    <row r="14" spans="1:7" ht="15" thickBot="1" x14ac:dyDescent="0.35">
      <c r="A14" s="37">
        <v>15</v>
      </c>
      <c r="B14" s="38" t="s">
        <v>159</v>
      </c>
      <c r="C14" s="87">
        <v>1.0299458218549127</v>
      </c>
    </row>
    <row r="15" spans="1:7" ht="15" thickBot="1" x14ac:dyDescent="0.35">
      <c r="A15" s="37">
        <v>16</v>
      </c>
      <c r="B15" s="38" t="s">
        <v>160</v>
      </c>
      <c r="C15" s="87">
        <v>5.2240550964187324</v>
      </c>
    </row>
    <row r="16" spans="1:7" ht="15" thickBot="1" x14ac:dyDescent="0.35">
      <c r="A16" s="37">
        <v>17</v>
      </c>
      <c r="B16" s="38" t="s">
        <v>161</v>
      </c>
      <c r="C16" s="87">
        <v>8.7492304866850326</v>
      </c>
    </row>
    <row r="17" spans="1:3" ht="15" thickBot="1" x14ac:dyDescent="0.35">
      <c r="A17" s="37">
        <v>19</v>
      </c>
      <c r="B17" s="38" t="s">
        <v>162</v>
      </c>
      <c r="C17" s="87">
        <v>1.1361258034894399</v>
      </c>
    </row>
    <row r="18" spans="1:3" ht="15" thickBot="1" x14ac:dyDescent="0.35">
      <c r="A18" s="37">
        <v>21</v>
      </c>
      <c r="B18" s="38" t="s">
        <v>163</v>
      </c>
      <c r="C18" s="87">
        <v>4.8736611570247925</v>
      </c>
    </row>
    <row r="19" spans="1:3" ht="15" thickBot="1" x14ac:dyDescent="0.35">
      <c r="A19" s="37">
        <v>24</v>
      </c>
      <c r="B19" s="38" t="s">
        <v>164</v>
      </c>
      <c r="C19" s="87">
        <v>0.71140587695133151</v>
      </c>
    </row>
    <row r="20" spans="1:3" ht="15" thickBot="1" x14ac:dyDescent="0.35">
      <c r="A20" s="37">
        <v>25</v>
      </c>
      <c r="B20" s="38" t="s">
        <v>165</v>
      </c>
      <c r="C20" s="87">
        <v>3.9498953168044069</v>
      </c>
    </row>
    <row r="21" spans="1:3" ht="15" thickBot="1" x14ac:dyDescent="0.35">
      <c r="A21" s="37">
        <v>26</v>
      </c>
      <c r="B21" s="38" t="s">
        <v>166</v>
      </c>
      <c r="C21" s="87">
        <v>2.6120275482093662</v>
      </c>
    </row>
    <row r="22" spans="1:3" ht="15" thickBot="1" x14ac:dyDescent="0.35">
      <c r="A22" s="37">
        <v>27</v>
      </c>
      <c r="B22" s="38" t="s">
        <v>167</v>
      </c>
      <c r="C22" s="87">
        <v>38.500861340679521</v>
      </c>
    </row>
    <row r="23" spans="1:3" ht="15" thickBot="1" x14ac:dyDescent="0.35">
      <c r="A23" s="37">
        <v>28</v>
      </c>
      <c r="B23" s="38" t="s">
        <v>168</v>
      </c>
      <c r="C23" s="87">
        <v>25.642465564738295</v>
      </c>
    </row>
    <row r="24" spans="1:3" ht="15" thickBot="1" x14ac:dyDescent="0.35">
      <c r="A24" s="37">
        <v>32</v>
      </c>
      <c r="B24" s="38" t="s">
        <v>193</v>
      </c>
      <c r="C24" s="87">
        <v>0.57337190082644629</v>
      </c>
    </row>
    <row r="25" spans="1:3" ht="15" thickBot="1" x14ac:dyDescent="0.35">
      <c r="A25" s="37">
        <v>33</v>
      </c>
      <c r="B25" s="38" t="s">
        <v>194</v>
      </c>
      <c r="C25" s="87">
        <v>0.52028191000918267</v>
      </c>
    </row>
    <row r="26" spans="1:3" ht="15" thickBot="1" x14ac:dyDescent="0.35">
      <c r="A26" s="37">
        <v>37</v>
      </c>
      <c r="B26" s="38" t="s">
        <v>169</v>
      </c>
      <c r="C26" s="87">
        <v>20.89622038567493</v>
      </c>
    </row>
    <row r="27" spans="1:3" ht="15" thickBot="1" x14ac:dyDescent="0.35">
      <c r="A27" s="37">
        <v>38</v>
      </c>
      <c r="B27" s="38" t="s">
        <v>170</v>
      </c>
      <c r="C27" s="87">
        <v>1.1573617998163452</v>
      </c>
    </row>
    <row r="28" spans="1:3" ht="15" thickBot="1" x14ac:dyDescent="0.35">
      <c r="A28" s="37">
        <v>40</v>
      </c>
      <c r="B28" s="38" t="s">
        <v>171</v>
      </c>
      <c r="C28" s="87">
        <v>1.125507805325987</v>
      </c>
    </row>
    <row r="29" spans="1:3" ht="15" thickBot="1" x14ac:dyDescent="0.35">
      <c r="A29" s="37">
        <v>41</v>
      </c>
      <c r="B29" s="38" t="s">
        <v>172</v>
      </c>
      <c r="C29" s="87">
        <v>1.4865197428833792</v>
      </c>
    </row>
    <row r="30" spans="1:3" ht="15" thickBot="1" x14ac:dyDescent="0.35">
      <c r="A30" s="37">
        <v>42</v>
      </c>
      <c r="B30" s="38" t="s">
        <v>173</v>
      </c>
      <c r="C30" s="87">
        <v>1.1785977961432508</v>
      </c>
    </row>
    <row r="31" spans="1:3" ht="15" thickBot="1" x14ac:dyDescent="0.35">
      <c r="A31" s="37">
        <v>44</v>
      </c>
      <c r="B31" s="38" t="s">
        <v>174</v>
      </c>
      <c r="C31" s="87">
        <v>8.2501845730027537</v>
      </c>
    </row>
    <row r="32" spans="1:3" ht="15" thickBot="1" x14ac:dyDescent="0.35">
      <c r="A32" s="37">
        <v>46</v>
      </c>
      <c r="B32" s="38" t="s">
        <v>175</v>
      </c>
      <c r="C32" s="87">
        <v>1.9218576675849401</v>
      </c>
    </row>
    <row r="33" spans="1:4" ht="15" thickBot="1" x14ac:dyDescent="0.35">
      <c r="A33" s="37">
        <v>49</v>
      </c>
      <c r="B33" s="38" t="s">
        <v>176</v>
      </c>
      <c r="C33" s="87">
        <v>0.86005785123966938</v>
      </c>
    </row>
    <row r="34" spans="1:4" ht="15" thickBot="1" x14ac:dyDescent="0.35">
      <c r="A34" s="37">
        <v>60</v>
      </c>
      <c r="B34" s="38" t="s">
        <v>177</v>
      </c>
      <c r="C34" s="87">
        <v>0.98747382920110194</v>
      </c>
    </row>
    <row r="35" spans="1:4" ht="15" thickBot="1" x14ac:dyDescent="0.35">
      <c r="A35" s="37">
        <v>61</v>
      </c>
      <c r="B35" s="38" t="s">
        <v>178</v>
      </c>
      <c r="C35" s="87">
        <v>1.0936538108356291</v>
      </c>
    </row>
    <row r="36" spans="1:4" ht="15" thickBot="1" x14ac:dyDescent="0.35">
      <c r="A36" s="39">
        <v>66</v>
      </c>
      <c r="B36" s="40" t="s">
        <v>179</v>
      </c>
      <c r="C36" s="88">
        <v>128.18047382920108</v>
      </c>
      <c r="D36" s="15" t="s">
        <v>440</v>
      </c>
    </row>
    <row r="37" spans="1:4" ht="15" thickBot="1" x14ac:dyDescent="0.35">
      <c r="A37" s="37">
        <v>79</v>
      </c>
      <c r="B37" s="38" t="s">
        <v>180</v>
      </c>
      <c r="C37" s="87">
        <v>0.42471992653810836</v>
      </c>
    </row>
    <row r="38" spans="1:4" ht="15" thickBot="1" x14ac:dyDescent="0.35">
      <c r="A38" s="37">
        <v>80</v>
      </c>
      <c r="B38" s="38" t="s">
        <v>181</v>
      </c>
      <c r="C38" s="87">
        <v>1.0936538108356291</v>
      </c>
    </row>
    <row r="39" spans="1:4" ht="15" thickBot="1" x14ac:dyDescent="0.35">
      <c r="A39" s="37">
        <v>83</v>
      </c>
      <c r="B39" s="38" t="s">
        <v>182</v>
      </c>
      <c r="C39" s="87">
        <v>32.013264462809921</v>
      </c>
    </row>
    <row r="40" spans="1:4" ht="15" thickBot="1" x14ac:dyDescent="0.35">
      <c r="A40" s="37">
        <v>84</v>
      </c>
      <c r="B40" s="38" t="s">
        <v>183</v>
      </c>
      <c r="C40" s="87">
        <v>0.75387786960514225</v>
      </c>
    </row>
    <row r="41" spans="1:4" ht="15" thickBot="1" x14ac:dyDescent="0.35">
      <c r="A41" s="37">
        <v>85</v>
      </c>
      <c r="B41" s="38" t="s">
        <v>184</v>
      </c>
      <c r="C41" s="87">
        <v>0.77511386593204756</v>
      </c>
    </row>
    <row r="42" spans="1:4" ht="15" thickBot="1" x14ac:dyDescent="0.35">
      <c r="A42" s="37">
        <v>86</v>
      </c>
      <c r="B42" s="38" t="s">
        <v>185</v>
      </c>
      <c r="C42" s="87">
        <v>0.50966391184573001</v>
      </c>
    </row>
    <row r="43" spans="1:4" ht="15" thickBot="1" x14ac:dyDescent="0.35">
      <c r="A43" s="37">
        <v>89</v>
      </c>
      <c r="B43" s="38" t="s">
        <v>186</v>
      </c>
      <c r="C43" s="87">
        <v>3.7481533516988055</v>
      </c>
    </row>
    <row r="44" spans="1:4" ht="15" thickBot="1" x14ac:dyDescent="0.35">
      <c r="A44" s="37">
        <v>90</v>
      </c>
      <c r="B44" s="38" t="s">
        <v>187</v>
      </c>
      <c r="C44" s="87">
        <v>1.1679797979797981</v>
      </c>
    </row>
    <row r="45" spans="1:4" ht="15" thickBot="1" x14ac:dyDescent="0.35">
      <c r="A45" s="37">
        <v>91</v>
      </c>
      <c r="B45" s="38" t="s">
        <v>188</v>
      </c>
      <c r="C45" s="87">
        <v>0.62646189164370969</v>
      </c>
    </row>
    <row r="46" spans="1:4" ht="15" thickBot="1" x14ac:dyDescent="0.35">
      <c r="A46" s="37">
        <v>92</v>
      </c>
      <c r="B46" s="38" t="s">
        <v>189</v>
      </c>
      <c r="C46" s="87">
        <v>5.7231010101010087</v>
      </c>
    </row>
    <row r="47" spans="1:4" ht="15" thickBot="1" x14ac:dyDescent="0.35">
      <c r="A47" s="37">
        <v>93</v>
      </c>
      <c r="B47" s="38" t="s">
        <v>190</v>
      </c>
      <c r="C47" s="87">
        <v>1.3378677685950411</v>
      </c>
    </row>
    <row r="48" spans="1:4" ht="15" thickBot="1" x14ac:dyDescent="0.35">
      <c r="A48" s="37">
        <v>99</v>
      </c>
      <c r="B48" s="38" t="s">
        <v>191</v>
      </c>
      <c r="C48" s="87">
        <v>1.3166317722681358</v>
      </c>
    </row>
  </sheetData>
  <sheetProtection algorithmName="SHA-512" hashValue="msZ0vD7+ZWvZ3/ppEiXPbzm0ehjZNZoXLbOGoX/5Kxf+sIxlfVWVjBWV7ge9wtvCeP2lsaAy/kLpyuIFPKKuCg==" saltValue="SQmcxpU3voXjo49RXO11PA==" spinCount="100000" sheet="1" objects="1" scenarios="1"/>
  <mergeCells count="2">
    <mergeCell ref="A1:A2"/>
    <mergeCell ref="B1: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E3E0-0155-40D3-8836-512CC07E8CCD}">
  <sheetPr codeName="Feuil4">
    <tabColor rgb="FF92D050"/>
  </sheetPr>
  <dimension ref="A1:AO135"/>
  <sheetViews>
    <sheetView workbookViewId="0">
      <selection sqref="A1:D1"/>
    </sheetView>
  </sheetViews>
  <sheetFormatPr baseColWidth="10" defaultRowHeight="19.95" customHeight="1" x14ac:dyDescent="0.3"/>
  <cols>
    <col min="1" max="1" width="4.44140625" style="47" bestFit="1" customWidth="1"/>
    <col min="2" max="2" width="8.6640625" style="47" bestFit="1" customWidth="1"/>
    <col min="3" max="4" width="11.5546875" style="47"/>
    <col min="5" max="5" width="23.88671875" hidden="1" customWidth="1"/>
    <col min="6" max="6" width="11.5546875" hidden="1" customWidth="1"/>
    <col min="7" max="7" width="36.6640625" customWidth="1"/>
    <col min="11" max="12" width="11.5546875" style="62" hidden="1" customWidth="1"/>
    <col min="13" max="13" width="28" style="62" customWidth="1"/>
    <col min="14" max="14" width="2.5546875" style="62" bestFit="1" customWidth="1"/>
    <col min="15" max="15" width="13.33203125" style="62" customWidth="1"/>
    <col min="16" max="16" width="11.5546875" style="59"/>
    <col min="17" max="18" width="11.5546875" style="62"/>
    <col min="19" max="19" width="11.5546875" style="59"/>
  </cols>
  <sheetData>
    <row r="1" spans="1:41" ht="19.95" customHeight="1" thickBot="1" x14ac:dyDescent="0.35">
      <c r="A1" s="46" t="s">
        <v>198</v>
      </c>
      <c r="B1" s="53" t="s">
        <v>290</v>
      </c>
      <c r="C1" s="53" t="s">
        <v>291</v>
      </c>
      <c r="D1" s="53" t="s">
        <v>292</v>
      </c>
      <c r="E1" s="41" t="s">
        <v>199</v>
      </c>
      <c r="F1" s="42" t="s">
        <v>200</v>
      </c>
      <c r="G1" s="42" t="s">
        <v>416</v>
      </c>
      <c r="H1" s="43" t="s">
        <v>454</v>
      </c>
      <c r="I1" s="43" t="s">
        <v>201</v>
      </c>
      <c r="K1" s="60" t="s">
        <v>198</v>
      </c>
      <c r="L1" s="60" t="s">
        <v>291</v>
      </c>
      <c r="M1" s="60" t="s">
        <v>417</v>
      </c>
      <c r="N1" s="60"/>
      <c r="O1" s="60"/>
      <c r="P1" s="60" t="s">
        <v>55</v>
      </c>
      <c r="Q1" s="60" t="s">
        <v>56</v>
      </c>
      <c r="R1" s="60" t="s">
        <v>57</v>
      </c>
      <c r="S1" s="60" t="s">
        <v>21</v>
      </c>
      <c r="T1" s="60" t="s">
        <v>58</v>
      </c>
      <c r="U1" s="60" t="s">
        <v>59</v>
      </c>
      <c r="V1" s="60" t="s">
        <v>424</v>
      </c>
      <c r="W1" s="60" t="s">
        <v>425</v>
      </c>
      <c r="X1" s="60" t="s">
        <v>426</v>
      </c>
      <c r="Y1" s="60" t="s">
        <v>427</v>
      </c>
      <c r="Z1" s="60" t="s">
        <v>428</v>
      </c>
      <c r="AA1" s="60" t="s">
        <v>429</v>
      </c>
      <c r="AC1" s="60" t="s">
        <v>418</v>
      </c>
      <c r="AD1" s="3">
        <v>2</v>
      </c>
      <c r="AE1" s="64">
        <v>3</v>
      </c>
      <c r="AF1" s="3">
        <v>4</v>
      </c>
      <c r="AG1" s="3">
        <v>5</v>
      </c>
      <c r="AH1" s="64">
        <v>6</v>
      </c>
      <c r="AI1" s="3">
        <v>7</v>
      </c>
      <c r="AJ1" s="3">
        <v>8</v>
      </c>
      <c r="AK1" s="64">
        <v>9</v>
      </c>
      <c r="AL1" s="3">
        <v>10</v>
      </c>
      <c r="AM1" s="3">
        <v>11</v>
      </c>
      <c r="AN1" s="64">
        <v>12</v>
      </c>
      <c r="AO1" s="64">
        <v>13</v>
      </c>
    </row>
    <row r="2" spans="1:41" ht="19.95" customHeight="1" thickBot="1" x14ac:dyDescent="0.35">
      <c r="A2" s="54">
        <v>1</v>
      </c>
      <c r="B2" s="54">
        <v>1</v>
      </c>
      <c r="C2" s="54" t="s">
        <v>293</v>
      </c>
      <c r="D2" s="54" t="s">
        <v>294</v>
      </c>
      <c r="E2" s="44" t="s">
        <v>202</v>
      </c>
      <c r="F2" s="45" t="s">
        <v>203</v>
      </c>
      <c r="G2" s="45" t="str">
        <f t="shared" ref="G2:G33" si="0">_xlfn.CONCAT(A2," - ",B2," - ",E2," (",F2,")")</f>
        <v>1 - 1 - Lait réceptionné (tonne)</v>
      </c>
      <c r="H2" s="45">
        <v>0.13</v>
      </c>
      <c r="I2" s="45">
        <v>0.01</v>
      </c>
      <c r="K2" s="58">
        <v>1</v>
      </c>
      <c r="L2" s="58" t="s">
        <v>293</v>
      </c>
      <c r="M2" s="58" t="str">
        <f>_xlfn.CONCAT(K2," - ",L2)</f>
        <v>1 - INDUSTRIE LAITIERE</v>
      </c>
      <c r="N2" s="58">
        <f>K2</f>
        <v>1</v>
      </c>
      <c r="O2" s="58" t="str">
        <f>_xlfn.CONCAT("_",K2)</f>
        <v>_1</v>
      </c>
      <c r="P2" s="58" t="s">
        <v>294</v>
      </c>
      <c r="Q2" s="58" t="s">
        <v>433</v>
      </c>
      <c r="R2" s="58"/>
      <c r="AD2" s="1" t="e">
        <f t="shared" ref="AD2:AO2" si="1">VLOOKUP($AC$5,$O:$AA,AD1,FALSE)</f>
        <v>#N/A</v>
      </c>
      <c r="AE2" s="1" t="e">
        <f t="shared" si="1"/>
        <v>#N/A</v>
      </c>
      <c r="AF2" s="1" t="e">
        <f t="shared" si="1"/>
        <v>#N/A</v>
      </c>
      <c r="AG2" s="1" t="e">
        <f t="shared" si="1"/>
        <v>#N/A</v>
      </c>
      <c r="AH2" s="1" t="e">
        <f t="shared" si="1"/>
        <v>#N/A</v>
      </c>
      <c r="AI2" s="1" t="e">
        <f t="shared" si="1"/>
        <v>#N/A</v>
      </c>
      <c r="AJ2" s="1" t="e">
        <f t="shared" si="1"/>
        <v>#N/A</v>
      </c>
      <c r="AK2" s="1" t="e">
        <f t="shared" si="1"/>
        <v>#N/A</v>
      </c>
      <c r="AL2" s="1" t="e">
        <f t="shared" si="1"/>
        <v>#N/A</v>
      </c>
      <c r="AM2" s="1" t="e">
        <f t="shared" si="1"/>
        <v>#N/A</v>
      </c>
      <c r="AN2" s="1" t="e">
        <f t="shared" si="1"/>
        <v>#N/A</v>
      </c>
      <c r="AO2" s="1" t="e">
        <f t="shared" si="1"/>
        <v>#N/A</v>
      </c>
    </row>
    <row r="3" spans="1:41" ht="19.95" customHeight="1" thickBot="1" x14ac:dyDescent="0.35">
      <c r="A3" s="54">
        <v>1</v>
      </c>
      <c r="B3" s="54">
        <v>2</v>
      </c>
      <c r="C3" s="54"/>
      <c r="E3" s="44" t="s">
        <v>204</v>
      </c>
      <c r="F3" s="45" t="s">
        <v>203</v>
      </c>
      <c r="G3" s="45" t="str">
        <f t="shared" si="0"/>
        <v>1 - 2 - Lait réceptionné dans un poste de réception (tonne)</v>
      </c>
      <c r="H3" s="45">
        <v>0.06</v>
      </c>
      <c r="I3" s="45">
        <v>0.01</v>
      </c>
      <c r="K3" s="58">
        <v>2</v>
      </c>
      <c r="L3" s="58" t="s">
        <v>414</v>
      </c>
      <c r="M3" s="58" t="str">
        <f t="shared" ref="M3:M43" si="2">_xlfn.CONCAT(K3," - ",L3)</f>
        <v>2 - INDUSTRIE METALLURGIQUE (FER)</v>
      </c>
      <c r="N3" s="58">
        <f t="shared" ref="N3:N42" si="3">K3</f>
        <v>2</v>
      </c>
      <c r="O3" s="58" t="str">
        <f t="shared" ref="O3:O42" si="4">_xlfn.CONCAT("_",K3)</f>
        <v>_2</v>
      </c>
      <c r="P3" s="58" t="s">
        <v>295</v>
      </c>
      <c r="Q3" s="58"/>
      <c r="R3" s="58"/>
      <c r="AC3" t="s">
        <v>430</v>
      </c>
      <c r="AD3" t="e">
        <f t="shared" ref="AD3:AO3" si="5">MATCH(AD2,P:P,0)</f>
        <v>#N/A</v>
      </c>
      <c r="AE3" t="e">
        <f t="shared" si="5"/>
        <v>#N/A</v>
      </c>
      <c r="AF3" t="e">
        <f t="shared" si="5"/>
        <v>#N/A</v>
      </c>
      <c r="AG3" t="e">
        <f t="shared" si="5"/>
        <v>#N/A</v>
      </c>
      <c r="AH3" t="e">
        <f t="shared" si="5"/>
        <v>#N/A</v>
      </c>
      <c r="AI3" t="e">
        <f t="shared" si="5"/>
        <v>#N/A</v>
      </c>
      <c r="AJ3" t="e">
        <f t="shared" si="5"/>
        <v>#N/A</v>
      </c>
      <c r="AK3" t="e">
        <f t="shared" si="5"/>
        <v>#N/A</v>
      </c>
      <c r="AL3" t="e">
        <f t="shared" si="5"/>
        <v>#N/A</v>
      </c>
      <c r="AM3" t="e">
        <f t="shared" si="5"/>
        <v>#N/A</v>
      </c>
      <c r="AN3" t="e">
        <f t="shared" si="5"/>
        <v>#N/A</v>
      </c>
      <c r="AO3" t="e">
        <f t="shared" si="5"/>
        <v>#N/A</v>
      </c>
    </row>
    <row r="4" spans="1:41" ht="19.95" customHeight="1" thickBot="1" x14ac:dyDescent="0.35">
      <c r="A4" s="54">
        <v>1</v>
      </c>
      <c r="B4" s="54">
        <v>3</v>
      </c>
      <c r="C4" s="54"/>
      <c r="D4" s="54"/>
      <c r="E4" s="44" t="s">
        <v>205</v>
      </c>
      <c r="F4" s="45" t="s">
        <v>203</v>
      </c>
      <c r="G4" s="45" t="str">
        <f t="shared" si="0"/>
        <v>1 - 3 - Fromage (sauf fromage frais) (tonne)</v>
      </c>
      <c r="H4" s="45">
        <v>4.38</v>
      </c>
      <c r="I4" s="45">
        <v>0.01</v>
      </c>
      <c r="K4" s="58">
        <v>3</v>
      </c>
      <c r="L4" s="58" t="s">
        <v>415</v>
      </c>
      <c r="M4" s="58" t="str">
        <f t="shared" si="2"/>
        <v>3 - INDUSTRIE METALLURGIQUE (NON-FERREUX)</v>
      </c>
      <c r="N4" s="58">
        <f t="shared" si="3"/>
        <v>3</v>
      </c>
      <c r="O4" s="58" t="str">
        <f t="shared" si="4"/>
        <v>_3</v>
      </c>
      <c r="P4" s="63" t="s">
        <v>296</v>
      </c>
      <c r="Q4" s="58"/>
      <c r="AC4" t="s">
        <v>431</v>
      </c>
      <c r="AD4" t="e">
        <f t="shared" ref="AD4:AO4" si="6">_xlfn.CONCAT($AC$5,INDEX($P:$AA,1,AD1-1))</f>
        <v>#N/A</v>
      </c>
      <c r="AE4" t="e">
        <f t="shared" si="6"/>
        <v>#N/A</v>
      </c>
      <c r="AF4" t="e">
        <f t="shared" si="6"/>
        <v>#N/A</v>
      </c>
      <c r="AG4" t="e">
        <f t="shared" si="6"/>
        <v>#N/A</v>
      </c>
      <c r="AH4" t="e">
        <f t="shared" si="6"/>
        <v>#N/A</v>
      </c>
      <c r="AI4" t="e">
        <f t="shared" si="6"/>
        <v>#N/A</v>
      </c>
      <c r="AJ4" t="e">
        <f t="shared" si="6"/>
        <v>#N/A</v>
      </c>
      <c r="AK4" t="e">
        <f t="shared" si="6"/>
        <v>#N/A</v>
      </c>
      <c r="AL4" t="e">
        <f t="shared" si="6"/>
        <v>#N/A</v>
      </c>
      <c r="AM4" t="e">
        <f t="shared" si="6"/>
        <v>#N/A</v>
      </c>
      <c r="AN4" t="e">
        <f t="shared" si="6"/>
        <v>#N/A</v>
      </c>
      <c r="AO4" t="e">
        <f t="shared" si="6"/>
        <v>#N/A</v>
      </c>
    </row>
    <row r="5" spans="1:41" ht="19.95" customHeight="1" thickBot="1" x14ac:dyDescent="0.35">
      <c r="A5" s="54">
        <v>1</v>
      </c>
      <c r="B5" s="54">
        <v>4</v>
      </c>
      <c r="C5" s="54"/>
      <c r="D5" s="54"/>
      <c r="E5" s="44" t="s">
        <v>206</v>
      </c>
      <c r="F5" s="45" t="s">
        <v>203</v>
      </c>
      <c r="G5" s="45" t="str">
        <f t="shared" si="0"/>
        <v>1 - 4 - Fromage frais (tonne)</v>
      </c>
      <c r="H5" s="45">
        <v>4.38</v>
      </c>
      <c r="I5" s="45">
        <v>0.01</v>
      </c>
      <c r="K5" s="58">
        <v>4</v>
      </c>
      <c r="L5" s="58" t="s">
        <v>152</v>
      </c>
      <c r="M5" s="58" t="str">
        <f t="shared" si="2"/>
        <v>4 - ENNOBLISSEMENT DU TEXTILE</v>
      </c>
      <c r="N5" s="58">
        <f t="shared" si="3"/>
        <v>4</v>
      </c>
      <c r="O5" s="58" t="str">
        <f t="shared" si="4"/>
        <v>_4</v>
      </c>
      <c r="P5" s="58" t="s">
        <v>297</v>
      </c>
      <c r="Q5" s="58" t="s">
        <v>298</v>
      </c>
      <c r="R5" s="58" t="s">
        <v>299</v>
      </c>
      <c r="AC5" s="59" t="e">
        <f>VLOOKUP(Form_simplifiee_couts_unitaires!D7,taxe_FS!M:O,3,FALSE)</f>
        <v>#N/A</v>
      </c>
      <c r="AD5" t="e">
        <f>HLOOKUP(Form_simplifiee_couts_unitaires!$D$8,taxe_FS!AD2:AO4,3,FALSE)</f>
        <v>#N/A</v>
      </c>
      <c r="AE5" s="12" t="e">
        <f>VLOOKUP(Form_simplifiee_couts_unitaires!D9,taxe_FS!G:I,2,FALSE)</f>
        <v>#N/A</v>
      </c>
      <c r="AF5" s="12" t="e">
        <f>VLOOKUP(Form_simplifiee_couts_unitaires!D9,taxe_FS!G:I,3,FALSE)</f>
        <v>#N/A</v>
      </c>
      <c r="AG5" s="12">
        <v>1E-4</v>
      </c>
      <c r="AH5" s="12" t="e">
        <f>ROUNDUP(Form_simplifiee_couts_unitaires!D10*taxe_FS!AE5,2)</f>
        <v>#N/A</v>
      </c>
      <c r="AI5" s="12" t="e">
        <f>ROUNDUP(IF(Form_simplifiee_couts_unitaires!D12&gt;=200000,(ROUNDUP(Form_simplifiee_couts_unitaires!D11,0)-ROUNDUP(AL5,0))*taxe_FS!AF5+ROUNDUP(AL5,0)*taxe_FS!AG5,(ROUNDUP(Form_simplifiee_couts_unitaires!D11,0)-ROUNDUP(AL5,0))*taxe_FS!AF5),2)</f>
        <v>#N/A</v>
      </c>
      <c r="AJ5" s="12" t="e">
        <f>AH5+AI5</f>
        <v>#N/A</v>
      </c>
      <c r="AK5" s="69" t="e">
        <f>ROUNDUP(AJ5*taxe_FC!F5,2)</f>
        <v>#N/A</v>
      </c>
      <c r="AL5" s="12">
        <f>IF(Form_simplifiee_couts_unitaires!D12&gt;Form_simplifiee_couts_unitaires!D11,Form_simplifiee_couts_unitaires!D11,Form_simplifiee_couts_unitaires!D12)</f>
        <v>0</v>
      </c>
    </row>
    <row r="6" spans="1:41" ht="19.95" customHeight="1" thickBot="1" x14ac:dyDescent="0.35">
      <c r="A6" s="54">
        <v>1</v>
      </c>
      <c r="B6" s="54">
        <v>5</v>
      </c>
      <c r="C6" s="54"/>
      <c r="D6" s="54"/>
      <c r="E6" s="44" t="s">
        <v>207</v>
      </c>
      <c r="F6" s="45" t="s">
        <v>203</v>
      </c>
      <c r="G6" s="45" t="str">
        <f t="shared" si="0"/>
        <v>1 - 5 - Beurre et concentré de beurre (tiré du beurre) fabriqué (tonne)</v>
      </c>
      <c r="H6" s="45">
        <v>4.38</v>
      </c>
      <c r="I6" s="45">
        <v>0.01</v>
      </c>
      <c r="K6" s="58">
        <v>5</v>
      </c>
      <c r="L6" s="58" t="s">
        <v>300</v>
      </c>
      <c r="M6" s="58" t="str">
        <f t="shared" si="2"/>
        <v>5 - BLANCHISSERIES (à l’exception des salons-lavoirs)</v>
      </c>
      <c r="N6" s="58">
        <f t="shared" si="3"/>
        <v>5</v>
      </c>
      <c r="O6" s="58" t="str">
        <f t="shared" si="4"/>
        <v>_5</v>
      </c>
      <c r="P6" s="58" t="s">
        <v>301</v>
      </c>
      <c r="Q6" s="58" t="s">
        <v>302</v>
      </c>
      <c r="AE6" s="12" t="s">
        <v>454</v>
      </c>
      <c r="AF6" s="12" t="s">
        <v>201</v>
      </c>
      <c r="AG6" s="12" t="s">
        <v>438</v>
      </c>
      <c r="AH6" s="12" t="s">
        <v>24</v>
      </c>
      <c r="AI6" s="12" t="s">
        <v>37</v>
      </c>
      <c r="AJ6" s="12" t="s">
        <v>436</v>
      </c>
      <c r="AK6" s="12" t="s">
        <v>437</v>
      </c>
      <c r="AL6" s="76" t="s">
        <v>23</v>
      </c>
    </row>
    <row r="7" spans="1:41" ht="19.95" customHeight="1" thickBot="1" x14ac:dyDescent="0.35">
      <c r="A7" s="54">
        <v>1</v>
      </c>
      <c r="B7" s="54">
        <v>6</v>
      </c>
      <c r="C7" s="54"/>
      <c r="D7" s="54"/>
      <c r="E7" s="44" t="s">
        <v>208</v>
      </c>
      <c r="F7" s="45" t="s">
        <v>203</v>
      </c>
      <c r="G7" s="45" t="str">
        <f t="shared" si="0"/>
        <v>1 - 6 - Beurre (préparation continue sans lavage) (tonne)</v>
      </c>
      <c r="H7" s="45">
        <v>1.47</v>
      </c>
      <c r="I7" s="45">
        <v>0.01</v>
      </c>
      <c r="K7" s="58">
        <v>6</v>
      </c>
      <c r="L7" s="58" t="s">
        <v>303</v>
      </c>
      <c r="M7" s="58" t="str">
        <f t="shared" si="2"/>
        <v>6 - PREPARATION DU POISSON</v>
      </c>
      <c r="N7" s="58">
        <f t="shared" si="3"/>
        <v>6</v>
      </c>
      <c r="O7" s="58" t="str">
        <f t="shared" si="4"/>
        <v>_6</v>
      </c>
      <c r="P7" s="58" t="s">
        <v>304</v>
      </c>
      <c r="Q7" s="58" t="s">
        <v>305</v>
      </c>
      <c r="AH7" t="s">
        <v>445</v>
      </c>
      <c r="AI7" t="s">
        <v>446</v>
      </c>
    </row>
    <row r="8" spans="1:41" ht="19.95" customHeight="1" thickBot="1" x14ac:dyDescent="0.35">
      <c r="A8" s="54">
        <v>1</v>
      </c>
      <c r="B8" s="54">
        <v>7</v>
      </c>
      <c r="C8" s="54"/>
      <c r="D8" s="54"/>
      <c r="E8" s="44" t="s">
        <v>209</v>
      </c>
      <c r="F8" s="45" t="s">
        <v>203</v>
      </c>
      <c r="G8" s="45" t="str">
        <f t="shared" si="0"/>
        <v>1 - 7 - Poudre de lait (séchage sur cylindres) (tonne)</v>
      </c>
      <c r="H8" s="45">
        <v>1.78</v>
      </c>
      <c r="I8" s="45">
        <v>0.01</v>
      </c>
      <c r="K8" s="58">
        <v>7</v>
      </c>
      <c r="L8" s="58" t="s">
        <v>306</v>
      </c>
      <c r="M8" s="58" t="str">
        <f t="shared" si="2"/>
        <v>7 - INDUSTRIE DU SUCRE ET DES RAPERIES DE BETTERAVES</v>
      </c>
      <c r="N8" s="58">
        <f t="shared" si="3"/>
        <v>7</v>
      </c>
      <c r="O8" s="58" t="str">
        <f t="shared" si="4"/>
        <v>_7</v>
      </c>
      <c r="P8" s="58" t="s">
        <v>307</v>
      </c>
      <c r="Q8" s="58" t="s">
        <v>308</v>
      </c>
      <c r="R8" s="58" t="s">
        <v>309</v>
      </c>
    </row>
    <row r="9" spans="1:41" ht="19.95" customHeight="1" thickBot="1" x14ac:dyDescent="0.35">
      <c r="A9" s="54">
        <v>1</v>
      </c>
      <c r="B9" s="54">
        <v>8</v>
      </c>
      <c r="C9" s="54"/>
      <c r="D9" s="54"/>
      <c r="E9" s="44" t="s">
        <v>210</v>
      </c>
      <c r="F9" s="45" t="s">
        <v>203</v>
      </c>
      <c r="G9" s="45" t="str">
        <f t="shared" si="0"/>
        <v>1 - 8 - Poudre de lait (séchage en tour spray) (tonne)</v>
      </c>
      <c r="H9" s="45">
        <v>1.47</v>
      </c>
      <c r="I9" s="45">
        <v>0.01</v>
      </c>
      <c r="K9" s="58">
        <v>9</v>
      </c>
      <c r="L9" s="58" t="s">
        <v>310</v>
      </c>
      <c r="M9" s="58" t="str">
        <f t="shared" si="2"/>
        <v>9 - RAFFINERIES DE PETROLE</v>
      </c>
      <c r="N9" s="58">
        <f t="shared" si="3"/>
        <v>9</v>
      </c>
      <c r="O9" s="58" t="str">
        <f t="shared" si="4"/>
        <v>_9</v>
      </c>
      <c r="P9" s="59" t="str">
        <f>L9</f>
        <v>RAFFINERIES DE PETROLE</v>
      </c>
      <c r="Q9" s="58"/>
    </row>
    <row r="10" spans="1:41" ht="19.95" customHeight="1" thickBot="1" x14ac:dyDescent="0.35">
      <c r="A10" s="54">
        <v>1</v>
      </c>
      <c r="B10" s="54">
        <v>9</v>
      </c>
      <c r="C10" s="54"/>
      <c r="D10" s="54"/>
      <c r="E10" s="44" t="s">
        <v>211</v>
      </c>
      <c r="F10" s="45" t="s">
        <v>203</v>
      </c>
      <c r="G10" s="45" t="str">
        <f t="shared" si="0"/>
        <v>1 - 9 - Lait de consommation en bouteilles (tonne)</v>
      </c>
      <c r="H10" s="45">
        <v>0.35</v>
      </c>
      <c r="I10" s="45">
        <v>0.01</v>
      </c>
      <c r="K10" s="58">
        <v>10</v>
      </c>
      <c r="L10" s="58" t="s">
        <v>311</v>
      </c>
      <c r="M10" s="58" t="str">
        <f t="shared" si="2"/>
        <v>10 - TANNERIES ET MEGISSERIES</v>
      </c>
      <c r="N10" s="58">
        <f t="shared" si="3"/>
        <v>10</v>
      </c>
      <c r="O10" s="58" t="str">
        <f t="shared" si="4"/>
        <v>_10</v>
      </c>
      <c r="P10" s="58" t="s">
        <v>312</v>
      </c>
      <c r="Q10" s="58" t="s">
        <v>313</v>
      </c>
      <c r="R10" s="58" t="s">
        <v>314</v>
      </c>
      <c r="S10" s="58" t="s">
        <v>315</v>
      </c>
      <c r="T10" s="54" t="s">
        <v>316</v>
      </c>
    </row>
    <row r="11" spans="1:41" ht="19.95" customHeight="1" thickBot="1" x14ac:dyDescent="0.35">
      <c r="A11" s="54">
        <v>1</v>
      </c>
      <c r="B11" s="54">
        <v>10</v>
      </c>
      <c r="C11" s="54"/>
      <c r="D11" s="54"/>
      <c r="E11" s="44" t="s">
        <v>212</v>
      </c>
      <c r="F11" s="45" t="s">
        <v>203</v>
      </c>
      <c r="G11" s="45" t="str">
        <f t="shared" si="0"/>
        <v>1 - 10 - Lait condensé (tonne)</v>
      </c>
      <c r="H11" s="45">
        <v>0.44</v>
      </c>
      <c r="I11" s="45">
        <v>0.01</v>
      </c>
      <c r="K11" s="58">
        <v>12</v>
      </c>
      <c r="L11" s="58" t="s">
        <v>317</v>
      </c>
      <c r="M11" s="58" t="str">
        <f t="shared" si="2"/>
        <v>12 - BRASSERIES, MALTERIES, ENTREPRISES DE CONDITIONNEMENT ET DE MISE EN BOUTEILLES DES BOISSONS</v>
      </c>
      <c r="N11" s="58">
        <f t="shared" si="3"/>
        <v>12</v>
      </c>
      <c r="O11" s="58" t="str">
        <f t="shared" si="4"/>
        <v>_12</v>
      </c>
      <c r="P11" s="58" t="s">
        <v>318</v>
      </c>
      <c r="Q11" s="58" t="s">
        <v>319</v>
      </c>
      <c r="R11" s="58" t="s">
        <v>320</v>
      </c>
      <c r="S11" s="58" t="s">
        <v>321</v>
      </c>
      <c r="T11" s="54" t="s">
        <v>322</v>
      </c>
    </row>
    <row r="12" spans="1:41" ht="19.95" customHeight="1" thickBot="1" x14ac:dyDescent="0.35">
      <c r="A12" s="54">
        <v>1</v>
      </c>
      <c r="B12" s="54">
        <v>11</v>
      </c>
      <c r="C12" s="54"/>
      <c r="D12" s="54"/>
      <c r="E12" s="44" t="s">
        <v>213</v>
      </c>
      <c r="F12" s="45" t="s">
        <v>203</v>
      </c>
      <c r="G12" s="45" t="str">
        <f t="shared" si="0"/>
        <v>1 - 11 - Produits frais en bouteilles (tonne)</v>
      </c>
      <c r="H12" s="45">
        <v>0.35</v>
      </c>
      <c r="I12" s="45">
        <v>0.01</v>
      </c>
      <c r="K12" s="58">
        <v>13</v>
      </c>
      <c r="L12" s="58" t="s">
        <v>157</v>
      </c>
      <c r="M12" s="58" t="str">
        <f t="shared" si="2"/>
        <v>13 - LAVAGE DE LA LAINE</v>
      </c>
      <c r="N12" s="58">
        <f t="shared" si="3"/>
        <v>13</v>
      </c>
      <c r="O12" s="58" t="str">
        <f t="shared" si="4"/>
        <v>_13</v>
      </c>
      <c r="P12" s="59" t="str">
        <f>L12</f>
        <v>LAVAGE DE LA LAINE</v>
      </c>
      <c r="Q12" s="58"/>
      <c r="R12" s="58"/>
    </row>
    <row r="13" spans="1:41" ht="19.95" customHeight="1" thickBot="1" x14ac:dyDescent="0.35">
      <c r="A13" s="54">
        <v>1</v>
      </c>
      <c r="B13" s="54">
        <v>12</v>
      </c>
      <c r="C13" s="54"/>
      <c r="D13" s="54"/>
      <c r="E13" s="44" t="s">
        <v>214</v>
      </c>
      <c r="F13" s="45" t="s">
        <v>203</v>
      </c>
      <c r="G13" s="45" t="str">
        <f t="shared" si="0"/>
        <v>1 - 12 - Matière première pour la préparation de crème glacée (tonne)</v>
      </c>
      <c r="H13" s="45">
        <v>0.44</v>
      </c>
      <c r="I13" s="45">
        <v>0.01</v>
      </c>
      <c r="K13" s="58">
        <v>14</v>
      </c>
      <c r="L13" s="58" t="s">
        <v>323</v>
      </c>
      <c r="M13" s="58" t="str">
        <f t="shared" si="2"/>
        <v>14 - INDUSTRIE DU PAPIER ET CARTON</v>
      </c>
      <c r="N13" s="58">
        <f t="shared" si="3"/>
        <v>14</v>
      </c>
      <c r="O13" s="58" t="str">
        <f t="shared" si="4"/>
        <v>_14</v>
      </c>
      <c r="P13" s="58" t="s">
        <v>324</v>
      </c>
      <c r="Q13" s="58" t="s">
        <v>325</v>
      </c>
      <c r="R13" s="58"/>
    </row>
    <row r="14" spans="1:41" ht="19.95" customHeight="1" thickBot="1" x14ac:dyDescent="0.35">
      <c r="A14" s="54">
        <v>1</v>
      </c>
      <c r="B14" s="54">
        <v>13</v>
      </c>
      <c r="C14" s="54"/>
      <c r="D14" s="54" t="s">
        <v>433</v>
      </c>
      <c r="E14" s="48" t="s">
        <v>202</v>
      </c>
      <c r="F14" s="49" t="s">
        <v>203</v>
      </c>
      <c r="G14" s="45" t="str">
        <f t="shared" si="0"/>
        <v>1 - 13 - Lait réceptionné (tonne)</v>
      </c>
      <c r="H14" s="49">
        <v>0.06</v>
      </c>
      <c r="I14" s="49">
        <v>0.01</v>
      </c>
      <c r="K14" s="58">
        <v>15</v>
      </c>
      <c r="L14" s="58" t="s">
        <v>326</v>
      </c>
      <c r="M14" s="58" t="str">
        <f t="shared" si="2"/>
        <v>15 - INDUSTRIE VERRERIE</v>
      </c>
      <c r="N14" s="58">
        <f t="shared" si="3"/>
        <v>15</v>
      </c>
      <c r="O14" s="58" t="str">
        <f t="shared" si="4"/>
        <v>_15</v>
      </c>
      <c r="P14" s="59" t="str">
        <f>L14</f>
        <v>INDUSTRIE VERRERIE</v>
      </c>
      <c r="Q14" s="58"/>
      <c r="R14" s="58"/>
    </row>
    <row r="15" spans="1:41" ht="19.95" customHeight="1" thickBot="1" x14ac:dyDescent="0.35">
      <c r="A15" s="54">
        <v>1</v>
      </c>
      <c r="B15" s="54">
        <v>14</v>
      </c>
      <c r="C15" s="54"/>
      <c r="D15" s="54"/>
      <c r="E15" s="44" t="s">
        <v>205</v>
      </c>
      <c r="F15" s="45" t="s">
        <v>203</v>
      </c>
      <c r="G15" s="45" t="str">
        <f t="shared" si="0"/>
        <v>1 - 14 - Fromage (sauf fromage frais) (tonne)</v>
      </c>
      <c r="H15" s="45">
        <v>1.78</v>
      </c>
      <c r="I15" s="45">
        <v>0.01</v>
      </c>
      <c r="K15" s="58">
        <v>16</v>
      </c>
      <c r="L15" s="58" t="s">
        <v>160</v>
      </c>
      <c r="M15" s="58" t="str">
        <f t="shared" si="2"/>
        <v>16 - ABATTOIRS</v>
      </c>
      <c r="N15" s="58">
        <f t="shared" si="3"/>
        <v>16</v>
      </c>
      <c r="O15" s="58" t="str">
        <f t="shared" si="4"/>
        <v>_16</v>
      </c>
      <c r="P15" s="58" t="s">
        <v>327</v>
      </c>
      <c r="Q15" s="58" t="s">
        <v>328</v>
      </c>
      <c r="R15" s="58" t="s">
        <v>329</v>
      </c>
      <c r="S15" s="58" t="s">
        <v>330</v>
      </c>
      <c r="T15" s="54" t="s">
        <v>331</v>
      </c>
      <c r="U15" s="54" t="s">
        <v>332</v>
      </c>
      <c r="V15" s="54" t="s">
        <v>333</v>
      </c>
      <c r="W15" s="54" t="s">
        <v>334</v>
      </c>
      <c r="X15" s="54" t="s">
        <v>335</v>
      </c>
      <c r="Y15" s="54" t="s">
        <v>336</v>
      </c>
      <c r="Z15" s="54" t="s">
        <v>337</v>
      </c>
      <c r="AA15" s="54" t="s">
        <v>338</v>
      </c>
    </row>
    <row r="16" spans="1:41" ht="19.95" customHeight="1" thickBot="1" x14ac:dyDescent="0.35">
      <c r="A16" s="54">
        <v>1</v>
      </c>
      <c r="B16" s="54">
        <v>15</v>
      </c>
      <c r="C16" s="54"/>
      <c r="D16" s="54"/>
      <c r="E16" s="44" t="s">
        <v>206</v>
      </c>
      <c r="F16" s="45" t="s">
        <v>203</v>
      </c>
      <c r="G16" s="45" t="str">
        <f t="shared" si="0"/>
        <v>1 - 15 - Fromage frais (tonne)</v>
      </c>
      <c r="H16" s="45">
        <v>1.78</v>
      </c>
      <c r="I16" s="45">
        <v>0.01</v>
      </c>
      <c r="K16" s="58">
        <v>17</v>
      </c>
      <c r="L16" s="58" t="s">
        <v>339</v>
      </c>
      <c r="M16" s="58" t="str">
        <f t="shared" si="2"/>
        <v>17 - CONSERVERIE DE FRUITS ET DE LEGUMES</v>
      </c>
      <c r="N16" s="58">
        <f t="shared" si="3"/>
        <v>17</v>
      </c>
      <c r="O16" s="58" t="str">
        <f t="shared" si="4"/>
        <v>_17</v>
      </c>
      <c r="P16" s="58" t="s">
        <v>340</v>
      </c>
      <c r="Q16" s="58" t="s">
        <v>341</v>
      </c>
      <c r="R16" s="58" t="s">
        <v>342</v>
      </c>
      <c r="S16" s="58" t="s">
        <v>343</v>
      </c>
    </row>
    <row r="17" spans="1:20" ht="19.95" customHeight="1" thickBot="1" x14ac:dyDescent="0.35">
      <c r="A17" s="54">
        <v>1</v>
      </c>
      <c r="B17" s="54">
        <v>16</v>
      </c>
      <c r="C17" s="54"/>
      <c r="D17" s="54"/>
      <c r="E17" s="44" t="s">
        <v>215</v>
      </c>
      <c r="F17" s="45" t="s">
        <v>203</v>
      </c>
      <c r="G17" s="45" t="str">
        <f t="shared" si="0"/>
        <v>1 - 16 - Beurre (tonne)</v>
      </c>
      <c r="H17" s="45">
        <v>2.27</v>
      </c>
      <c r="I17" s="45">
        <v>0.01</v>
      </c>
      <c r="K17" s="58">
        <v>18</v>
      </c>
      <c r="L17" s="58" t="s">
        <v>344</v>
      </c>
      <c r="M17" s="58" t="str">
        <f t="shared" si="2"/>
        <v>18 - DISTILLERIES ET LEVURERIES</v>
      </c>
      <c r="N17" s="58">
        <f t="shared" si="3"/>
        <v>18</v>
      </c>
      <c r="O17" s="58" t="str">
        <f t="shared" si="4"/>
        <v>_18</v>
      </c>
      <c r="P17" s="58" t="s">
        <v>345</v>
      </c>
      <c r="Q17" s="58" t="s">
        <v>346</v>
      </c>
      <c r="R17" s="58"/>
    </row>
    <row r="18" spans="1:20" ht="19.95" customHeight="1" thickBot="1" x14ac:dyDescent="0.35">
      <c r="A18" s="54">
        <v>2</v>
      </c>
      <c r="B18" s="54"/>
      <c r="C18" s="54" t="s">
        <v>414</v>
      </c>
      <c r="D18" s="54" t="s">
        <v>295</v>
      </c>
      <c r="E18" s="48" t="s">
        <v>216</v>
      </c>
      <c r="F18" s="49" t="s">
        <v>217</v>
      </c>
      <c r="G18" s="45" t="str">
        <f t="shared" si="0"/>
        <v>2 -  - Journée de travail (100 j.)</v>
      </c>
      <c r="H18" s="49">
        <f>0.23/100</f>
        <v>2.3E-3</v>
      </c>
      <c r="I18" s="49">
        <v>3.2000000000000001E-2</v>
      </c>
      <c r="K18" s="58">
        <v>19</v>
      </c>
      <c r="L18" s="58" t="s">
        <v>347</v>
      </c>
      <c r="M18" s="58" t="str">
        <f t="shared" si="2"/>
        <v>19 - MECANIQUE TRANSFORMATION A FROID ET TRAITEMENT DE SURFACE DES METAUX</v>
      </c>
      <c r="N18" s="58">
        <f t="shared" si="3"/>
        <v>19</v>
      </c>
      <c r="O18" s="58" t="str">
        <f t="shared" si="4"/>
        <v>_19</v>
      </c>
      <c r="P18" s="58" t="s">
        <v>348</v>
      </c>
      <c r="Q18" s="58" t="s">
        <v>349</v>
      </c>
      <c r="R18" s="58" t="s">
        <v>350</v>
      </c>
      <c r="S18" s="58" t="s">
        <v>351</v>
      </c>
      <c r="T18" s="54" t="s">
        <v>352</v>
      </c>
    </row>
    <row r="19" spans="1:20" ht="19.95" customHeight="1" thickBot="1" x14ac:dyDescent="0.35">
      <c r="A19" s="54">
        <v>3</v>
      </c>
      <c r="B19" s="54"/>
      <c r="C19" s="54" t="s">
        <v>415</v>
      </c>
      <c r="D19" s="57" t="s">
        <v>296</v>
      </c>
      <c r="E19" s="48" t="s">
        <v>216</v>
      </c>
      <c r="F19" s="49" t="s">
        <v>217</v>
      </c>
      <c r="G19" s="45" t="str">
        <f t="shared" si="0"/>
        <v>3 -  - Journée de travail (100 j.)</v>
      </c>
      <c r="H19" s="49">
        <f>0.23/100</f>
        <v>2.3E-3</v>
      </c>
      <c r="I19" s="49">
        <v>3.2000000000000001E-2</v>
      </c>
      <c r="K19" s="58">
        <v>20</v>
      </c>
      <c r="L19" s="58" t="s">
        <v>353</v>
      </c>
      <c r="M19" s="58" t="str">
        <f t="shared" si="2"/>
        <v>20 - USINE A GAZ</v>
      </c>
      <c r="N19" s="58">
        <f t="shared" si="3"/>
        <v>20</v>
      </c>
      <c r="O19" s="58" t="str">
        <f t="shared" si="4"/>
        <v>_20</v>
      </c>
      <c r="P19" s="59" t="str">
        <f>L19</f>
        <v>USINE A GAZ</v>
      </c>
      <c r="Q19" s="58"/>
      <c r="R19" s="58"/>
    </row>
    <row r="20" spans="1:20" ht="19.95" customHeight="1" thickBot="1" x14ac:dyDescent="0.35">
      <c r="A20" s="54">
        <v>4</v>
      </c>
      <c r="B20" s="54">
        <v>1</v>
      </c>
      <c r="C20" s="54" t="s">
        <v>152</v>
      </c>
      <c r="D20" s="54" t="s">
        <v>297</v>
      </c>
      <c r="E20" s="48" t="s">
        <v>218</v>
      </c>
      <c r="F20" s="50" t="s">
        <v>219</v>
      </c>
      <c r="G20" s="45" t="str">
        <f t="shared" si="0"/>
        <v>4 - 1 - Eau utilisée en teinturerie (m³)</v>
      </c>
      <c r="H20" s="49">
        <v>0.73</v>
      </c>
      <c r="I20" s="49">
        <v>0.01</v>
      </c>
      <c r="K20" s="58">
        <v>21</v>
      </c>
      <c r="L20" s="58" t="s">
        <v>354</v>
      </c>
      <c r="M20" s="58" t="str">
        <f t="shared" si="2"/>
        <v>21 - PETROCHIMIE ET CHIMIE ORGANIQUE EN DERIVANT</v>
      </c>
      <c r="N20" s="58">
        <f t="shared" si="3"/>
        <v>21</v>
      </c>
      <c r="O20" s="58" t="str">
        <f t="shared" si="4"/>
        <v>_21</v>
      </c>
      <c r="P20" s="59" t="str">
        <f>L20</f>
        <v>PETROCHIMIE ET CHIMIE ORGANIQUE EN DERIVANT</v>
      </c>
      <c r="Q20" s="58"/>
      <c r="R20" s="58"/>
    </row>
    <row r="21" spans="1:20" ht="19.95" customHeight="1" thickBot="1" x14ac:dyDescent="0.35">
      <c r="A21" s="54">
        <v>4</v>
      </c>
      <c r="B21" s="54">
        <v>2</v>
      </c>
      <c r="C21" s="54"/>
      <c r="D21" s="54" t="s">
        <v>298</v>
      </c>
      <c r="E21" s="48" t="s">
        <v>220</v>
      </c>
      <c r="F21" s="50" t="s">
        <v>219</v>
      </c>
      <c r="G21" s="45" t="str">
        <f t="shared" si="0"/>
        <v>4 - 2 - Eau utilisée en atelier de blanchiment (m³)</v>
      </c>
      <c r="H21" s="49">
        <v>0.73</v>
      </c>
      <c r="I21" s="49">
        <v>0.01</v>
      </c>
      <c r="K21" s="58">
        <v>22</v>
      </c>
      <c r="L21" s="58" t="s">
        <v>355</v>
      </c>
      <c r="M21" s="58" t="str">
        <f t="shared" si="2"/>
        <v>22 - INDUSTRIE DE LA GELATINE ET DE LA COLLE</v>
      </c>
      <c r="N21" s="58">
        <f t="shared" si="3"/>
        <v>22</v>
      </c>
      <c r="O21" s="58" t="str">
        <f t="shared" si="4"/>
        <v>_22</v>
      </c>
      <c r="P21" s="59" t="str">
        <f>L21</f>
        <v>INDUSTRIE DE LA GELATINE ET DE LA COLLE</v>
      </c>
      <c r="Q21" s="58"/>
      <c r="R21" s="58"/>
    </row>
    <row r="22" spans="1:20" ht="19.95" customHeight="1" thickBot="1" x14ac:dyDescent="0.35">
      <c r="A22" s="54">
        <v>4</v>
      </c>
      <c r="B22" s="54">
        <v>3</v>
      </c>
      <c r="C22" s="54"/>
      <c r="D22" s="54" t="s">
        <v>299</v>
      </c>
      <c r="E22" s="48" t="s">
        <v>221</v>
      </c>
      <c r="F22" s="50" t="s">
        <v>219</v>
      </c>
      <c r="G22" s="45" t="str">
        <f t="shared" si="0"/>
        <v>4 - 3 - Eau utilisée (m³)</v>
      </c>
      <c r="H22" s="49">
        <v>0.73</v>
      </c>
      <c r="I22" s="49">
        <v>0.01</v>
      </c>
      <c r="K22" s="58">
        <v>23</v>
      </c>
      <c r="L22" s="58" t="s">
        <v>356</v>
      </c>
      <c r="M22" s="58" t="str">
        <f t="shared" si="2"/>
        <v>23 - FABRICATION DES ENGRAIS</v>
      </c>
      <c r="N22" s="58">
        <f t="shared" si="3"/>
        <v>23</v>
      </c>
      <c r="O22" s="58" t="str">
        <f t="shared" si="4"/>
        <v>_23</v>
      </c>
      <c r="P22" s="59" t="str">
        <f>L22</f>
        <v>FABRICATION DES ENGRAIS</v>
      </c>
      <c r="Q22" s="58"/>
      <c r="R22" s="58"/>
    </row>
    <row r="23" spans="1:20" ht="19.8" customHeight="1" thickBot="1" x14ac:dyDescent="0.35">
      <c r="A23" s="54">
        <v>5</v>
      </c>
      <c r="B23" s="54">
        <v>1</v>
      </c>
      <c r="C23" s="56" t="s">
        <v>300</v>
      </c>
      <c r="D23" s="56" t="s">
        <v>301</v>
      </c>
      <c r="E23" s="51" t="s">
        <v>263</v>
      </c>
      <c r="F23" s="55" t="s">
        <v>203</v>
      </c>
      <c r="G23" s="45" t="str">
        <f t="shared" si="0"/>
        <v>5 - 1 - Linge blanc provenant uniquement d'hôpitaux et d'hôtels, paquets de draps et essuie-mains pour rouleaux automatiques (tonne)</v>
      </c>
      <c r="H23" s="55">
        <v>0.44</v>
      </c>
      <c r="I23" s="55">
        <v>0.01</v>
      </c>
      <c r="K23" s="58">
        <v>24</v>
      </c>
      <c r="L23" s="58" t="s">
        <v>164</v>
      </c>
      <c r="M23" s="58" t="str">
        <f t="shared" si="2"/>
        <v>24 - ABATTOIRS DE VOLAILLE</v>
      </c>
      <c r="N23" s="58">
        <f t="shared" si="3"/>
        <v>24</v>
      </c>
      <c r="O23" s="58" t="str">
        <f t="shared" si="4"/>
        <v>_24</v>
      </c>
      <c r="P23" s="58" t="s">
        <v>357</v>
      </c>
      <c r="Q23" s="58" t="s">
        <v>358</v>
      </c>
      <c r="R23" s="58" t="s">
        <v>359</v>
      </c>
    </row>
    <row r="24" spans="1:20" ht="19.95" customHeight="1" thickBot="1" x14ac:dyDescent="0.35">
      <c r="A24" s="54">
        <v>5</v>
      </c>
      <c r="B24" s="54">
        <v>2</v>
      </c>
      <c r="C24" s="54"/>
      <c r="D24" s="54"/>
      <c r="E24" s="44" t="s">
        <v>222</v>
      </c>
      <c r="F24" s="45" t="s">
        <v>203</v>
      </c>
      <c r="G24" s="45" t="str">
        <f t="shared" si="0"/>
        <v>5 - 2 - Linge blanc autre que ci-dessus (tonne)</v>
      </c>
      <c r="H24" s="45">
        <v>0.73</v>
      </c>
      <c r="I24" s="45">
        <v>0.01</v>
      </c>
      <c r="K24" s="58">
        <v>25</v>
      </c>
      <c r="L24" s="58" t="s">
        <v>360</v>
      </c>
      <c r="M24" s="58" t="str">
        <f t="shared" si="2"/>
        <v>25 - TRANSFORMATION DE LA VIANDE</v>
      </c>
      <c r="N24" s="58">
        <f t="shared" si="3"/>
        <v>25</v>
      </c>
      <c r="O24" s="58" t="str">
        <f t="shared" si="4"/>
        <v>_25</v>
      </c>
      <c r="P24" s="13" t="str">
        <f>L24</f>
        <v>TRANSFORMATION DE LA VIANDE</v>
      </c>
      <c r="Q24" s="58"/>
      <c r="R24" s="58"/>
    </row>
    <row r="25" spans="1:20" ht="19.8" customHeight="1" thickBot="1" x14ac:dyDescent="0.35">
      <c r="A25" s="54">
        <v>5</v>
      </c>
      <c r="B25" s="54">
        <v>3</v>
      </c>
      <c r="C25" s="54"/>
      <c r="D25" s="54"/>
      <c r="E25" s="44" t="s">
        <v>223</v>
      </c>
      <c r="F25" s="45" t="s">
        <v>203</v>
      </c>
      <c r="G25" s="45" t="str">
        <f t="shared" si="0"/>
        <v>5 - 3 - Linge de couleur, vêtements de travail et essuie-mains et essuies de cuisine de location (tonne)</v>
      </c>
      <c r="H25" s="45">
        <v>1.02</v>
      </c>
      <c r="I25" s="45">
        <v>0.01</v>
      </c>
      <c r="K25" s="58">
        <v>26</v>
      </c>
      <c r="L25" s="58" t="s">
        <v>361</v>
      </c>
      <c r="M25" s="58" t="str">
        <f t="shared" si="2"/>
        <v>26 - TRAITEMENT DES POMMES DE TERRE</v>
      </c>
      <c r="N25" s="58">
        <f t="shared" si="3"/>
        <v>26</v>
      </c>
      <c r="O25" s="58" t="str">
        <f t="shared" si="4"/>
        <v>_26</v>
      </c>
      <c r="P25" s="58" t="s">
        <v>362</v>
      </c>
      <c r="Q25" s="58" t="s">
        <v>363</v>
      </c>
      <c r="R25" s="58"/>
    </row>
    <row r="26" spans="1:20" ht="19.95" customHeight="1" thickBot="1" x14ac:dyDescent="0.35">
      <c r="A26" s="54">
        <v>5</v>
      </c>
      <c r="B26" s="54">
        <v>4</v>
      </c>
      <c r="C26" s="54"/>
      <c r="D26" s="54"/>
      <c r="E26" s="44" t="s">
        <v>224</v>
      </c>
      <c r="F26" s="45" t="s">
        <v>203</v>
      </c>
      <c r="G26" s="45" t="str">
        <f t="shared" si="0"/>
        <v>5 - 4 - Linge amidonné (tonne)</v>
      </c>
      <c r="H26" s="45">
        <v>1.62</v>
      </c>
      <c r="I26" s="45">
        <v>0.01</v>
      </c>
      <c r="K26" s="58">
        <v>27</v>
      </c>
      <c r="L26" s="58" t="s">
        <v>364</v>
      </c>
      <c r="M26" s="58" t="str">
        <f t="shared" si="2"/>
        <v>27 - HUILES ET GRAISSES ANIMALES ET VEGETALES</v>
      </c>
      <c r="N26" s="58">
        <f t="shared" si="3"/>
        <v>27</v>
      </c>
      <c r="O26" s="58" t="str">
        <f t="shared" si="4"/>
        <v>_27</v>
      </c>
      <c r="P26" s="58" t="s">
        <v>365</v>
      </c>
      <c r="Q26" s="58" t="s">
        <v>366</v>
      </c>
      <c r="R26" s="58"/>
    </row>
    <row r="27" spans="1:20" ht="19.95" customHeight="1" thickBot="1" x14ac:dyDescent="0.35">
      <c r="A27" s="54">
        <v>5</v>
      </c>
      <c r="B27" s="54">
        <v>5</v>
      </c>
      <c r="D27" s="54" t="s">
        <v>302</v>
      </c>
      <c r="E27" s="48" t="s">
        <v>216</v>
      </c>
      <c r="F27" s="49" t="s">
        <v>217</v>
      </c>
      <c r="G27" s="45" t="str">
        <f t="shared" si="0"/>
        <v>5 - 5 - Journée de travail (100 j.)</v>
      </c>
      <c r="H27" s="49">
        <f>0.18/100</f>
        <v>1.8E-3</v>
      </c>
      <c r="I27" s="49">
        <v>0.01</v>
      </c>
      <c r="K27" s="58">
        <v>28</v>
      </c>
      <c r="L27" s="58" t="s">
        <v>168</v>
      </c>
      <c r="M27" s="58" t="str">
        <f t="shared" si="2"/>
        <v>28 - PEROXYDES</v>
      </c>
      <c r="N27" s="58">
        <f t="shared" si="3"/>
        <v>28</v>
      </c>
      <c r="O27" s="58" t="str">
        <f t="shared" si="4"/>
        <v>_28</v>
      </c>
      <c r="P27" s="59" t="str">
        <f>L27</f>
        <v>PEROXYDES</v>
      </c>
      <c r="Q27" s="58"/>
      <c r="R27" s="58"/>
    </row>
    <row r="28" spans="1:20" ht="19.95" customHeight="1" thickBot="1" x14ac:dyDescent="0.35">
      <c r="A28" s="54">
        <v>6</v>
      </c>
      <c r="B28" s="54">
        <v>1</v>
      </c>
      <c r="C28" s="54" t="s">
        <v>303</v>
      </c>
      <c r="D28" s="54" t="s">
        <v>304</v>
      </c>
      <c r="E28" s="48" t="s">
        <v>225</v>
      </c>
      <c r="F28" s="49" t="s">
        <v>203</v>
      </c>
      <c r="G28" s="45" t="str">
        <f t="shared" si="0"/>
        <v>6 - 1 - Poisson (tonne)</v>
      </c>
      <c r="H28" s="49">
        <v>2.4300000000000002</v>
      </c>
      <c r="I28" s="49">
        <v>0.01</v>
      </c>
      <c r="K28" s="58">
        <v>29</v>
      </c>
      <c r="L28" s="58" t="s">
        <v>367</v>
      </c>
      <c r="M28" s="58" t="str">
        <f t="shared" si="2"/>
        <v>29 - INSTALLATIONS POUR LE NETTOYAGE DES FUTS</v>
      </c>
      <c r="N28" s="58">
        <f t="shared" si="3"/>
        <v>29</v>
      </c>
      <c r="O28" s="58" t="str">
        <f t="shared" si="4"/>
        <v>_29</v>
      </c>
      <c r="P28" s="59" t="str">
        <f t="shared" ref="P28:P32" si="7">L28</f>
        <v>INSTALLATIONS POUR LE NETTOYAGE DES FUTS</v>
      </c>
      <c r="Q28" s="58"/>
      <c r="R28" s="58"/>
    </row>
    <row r="29" spans="1:20" ht="19.95" customHeight="1" thickBot="1" x14ac:dyDescent="0.35">
      <c r="A29" s="54">
        <v>6</v>
      </c>
      <c r="B29" s="54">
        <v>2</v>
      </c>
      <c r="C29" s="54"/>
      <c r="D29" s="54" t="s">
        <v>305</v>
      </c>
      <c r="E29" s="48" t="s">
        <v>225</v>
      </c>
      <c r="F29" s="49" t="s">
        <v>203</v>
      </c>
      <c r="G29" s="45" t="str">
        <f t="shared" si="0"/>
        <v>6 - 2 - Poisson (tonne)</v>
      </c>
      <c r="H29" s="50">
        <v>3.3</v>
      </c>
      <c r="I29" s="49">
        <v>0.01</v>
      </c>
      <c r="K29" s="58">
        <v>30</v>
      </c>
      <c r="L29" s="58" t="s">
        <v>368</v>
      </c>
      <c r="M29" s="58" t="str">
        <f t="shared" si="2"/>
        <v>30 - INDUSTRIE DU CHLORE</v>
      </c>
      <c r="N29" s="58">
        <f t="shared" si="3"/>
        <v>30</v>
      </c>
      <c r="O29" s="58" t="str">
        <f t="shared" si="4"/>
        <v>_30</v>
      </c>
      <c r="P29" s="59" t="str">
        <f t="shared" si="7"/>
        <v>INDUSTRIE DU CHLORE</v>
      </c>
      <c r="Q29" s="58"/>
      <c r="R29" s="58"/>
    </row>
    <row r="30" spans="1:20" ht="19.95" customHeight="1" thickBot="1" x14ac:dyDescent="0.35">
      <c r="A30" s="54">
        <v>7</v>
      </c>
      <c r="B30" s="54">
        <v>1</v>
      </c>
      <c r="C30" s="54" t="s">
        <v>306</v>
      </c>
      <c r="D30" s="54" t="s">
        <v>307</v>
      </c>
      <c r="E30" s="48" t="s">
        <v>226</v>
      </c>
      <c r="F30" s="49" t="s">
        <v>203</v>
      </c>
      <c r="G30" s="45" t="str">
        <f t="shared" si="0"/>
        <v>7 - 1 - Betteraves sucrières (tonne)</v>
      </c>
      <c r="H30" s="49">
        <v>0.27</v>
      </c>
      <c r="I30" s="49">
        <v>0.01</v>
      </c>
      <c r="K30" s="58">
        <v>31</v>
      </c>
      <c r="L30" s="58" t="s">
        <v>369</v>
      </c>
      <c r="M30" s="58" t="str">
        <f t="shared" si="2"/>
        <v>31 - PRODUCTION D'HYDROCARBURES CHLORES</v>
      </c>
      <c r="N30" s="58">
        <f t="shared" si="3"/>
        <v>31</v>
      </c>
      <c r="O30" s="58" t="str">
        <f t="shared" si="4"/>
        <v>_31</v>
      </c>
      <c r="P30" s="59" t="str">
        <f t="shared" si="7"/>
        <v>PRODUCTION D'HYDROCARBURES CHLORES</v>
      </c>
      <c r="Q30" s="58"/>
      <c r="R30" s="58"/>
    </row>
    <row r="31" spans="1:20" ht="19.95" customHeight="1" thickBot="1" x14ac:dyDescent="0.35">
      <c r="A31" s="54">
        <v>7</v>
      </c>
      <c r="B31" s="54">
        <v>2</v>
      </c>
      <c r="C31" s="54"/>
      <c r="D31" s="54" t="s">
        <v>308</v>
      </c>
      <c r="E31" s="48" t="s">
        <v>226</v>
      </c>
      <c r="F31" s="49" t="s">
        <v>203</v>
      </c>
      <c r="G31" s="45" t="str">
        <f t="shared" si="0"/>
        <v>7 - 2 - Betteraves sucrières (tonne)</v>
      </c>
      <c r="H31" s="49">
        <v>2.7E-2</v>
      </c>
      <c r="I31" s="49">
        <v>0.01</v>
      </c>
      <c r="K31" s="58">
        <v>32</v>
      </c>
      <c r="L31" s="58" t="s">
        <v>370</v>
      </c>
      <c r="M31" s="58" t="str">
        <f t="shared" si="2"/>
        <v>32 - FABRICATION DE LAQUES ET DE COULEURS</v>
      </c>
      <c r="N31" s="58">
        <f t="shared" si="3"/>
        <v>32</v>
      </c>
      <c r="O31" s="58" t="str">
        <f t="shared" si="4"/>
        <v>_32</v>
      </c>
      <c r="P31" s="59" t="str">
        <f t="shared" si="7"/>
        <v>FABRICATION DE LAQUES ET DE COULEURS</v>
      </c>
      <c r="Q31" s="58"/>
      <c r="R31" s="58"/>
    </row>
    <row r="32" spans="1:20" ht="19.95" customHeight="1" thickBot="1" x14ac:dyDescent="0.35">
      <c r="A32" s="54">
        <v>7</v>
      </c>
      <c r="B32" s="54">
        <v>3</v>
      </c>
      <c r="C32" s="54"/>
      <c r="D32" s="54" t="s">
        <v>309</v>
      </c>
      <c r="E32" s="48" t="s">
        <v>227</v>
      </c>
      <c r="F32" s="49" t="s">
        <v>203</v>
      </c>
      <c r="G32" s="45" t="str">
        <f t="shared" si="0"/>
        <v>7 - 3 - Produit fini (tonne)</v>
      </c>
      <c r="H32" s="49">
        <v>0.28999999999999998</v>
      </c>
      <c r="I32" s="49">
        <v>0.01</v>
      </c>
      <c r="K32" s="58">
        <v>35</v>
      </c>
      <c r="L32" s="58" t="s">
        <v>371</v>
      </c>
      <c r="M32" s="58" t="str">
        <f t="shared" si="2"/>
        <v>35 - PRODUCTION ET TRANSFORMATION D'AMIDON ET FECULERIE (sauf pommes de terre)</v>
      </c>
      <c r="N32" s="58">
        <f t="shared" si="3"/>
        <v>35</v>
      </c>
      <c r="O32" s="58" t="str">
        <f t="shared" si="4"/>
        <v>_35</v>
      </c>
      <c r="P32" s="59" t="str">
        <f t="shared" si="7"/>
        <v>PRODUCTION ET TRANSFORMATION D'AMIDON ET FECULERIE (sauf pommes de terre)</v>
      </c>
      <c r="Q32" s="58"/>
      <c r="R32" s="58"/>
    </row>
    <row r="33" spans="1:19" ht="19.95" customHeight="1" thickBot="1" x14ac:dyDescent="0.35">
      <c r="A33" s="54">
        <v>9</v>
      </c>
      <c r="B33" s="54"/>
      <c r="C33" s="54" t="s">
        <v>310</v>
      </c>
      <c r="D33" s="54"/>
      <c r="E33" s="48" t="s">
        <v>216</v>
      </c>
      <c r="F33" s="49" t="s">
        <v>217</v>
      </c>
      <c r="G33" s="45" t="str">
        <f t="shared" si="0"/>
        <v>9 -  - Journée de travail (100 j.)</v>
      </c>
      <c r="H33" s="49">
        <f>23.6/100</f>
        <v>0.23600000000000002</v>
      </c>
      <c r="I33" s="49">
        <v>1.0999999999999999E-2</v>
      </c>
      <c r="K33" s="58">
        <v>37</v>
      </c>
      <c r="L33" s="58" t="s">
        <v>372</v>
      </c>
      <c r="M33" s="58" t="str">
        <f t="shared" si="2"/>
        <v>37 - PRODUCTION D'AGENTS DE SURFACE, SAVONNERIES</v>
      </c>
      <c r="N33" s="58">
        <f t="shared" si="3"/>
        <v>37</v>
      </c>
      <c r="O33" s="58" t="str">
        <f t="shared" si="4"/>
        <v>_37</v>
      </c>
      <c r="P33" s="58" t="s">
        <v>373</v>
      </c>
      <c r="Q33" s="58" t="s">
        <v>374</v>
      </c>
      <c r="R33" s="58" t="s">
        <v>375</v>
      </c>
      <c r="S33" s="58" t="s">
        <v>376</v>
      </c>
    </row>
    <row r="34" spans="1:19" ht="19.95" customHeight="1" thickBot="1" x14ac:dyDescent="0.35">
      <c r="A34" s="54">
        <v>10</v>
      </c>
      <c r="B34" s="54">
        <v>1</v>
      </c>
      <c r="C34" s="54" t="s">
        <v>311</v>
      </c>
      <c r="D34" s="54" t="s">
        <v>312</v>
      </c>
      <c r="E34" s="48" t="s">
        <v>228</v>
      </c>
      <c r="F34" s="49" t="s">
        <v>203</v>
      </c>
      <c r="G34" s="45" t="str">
        <f t="shared" ref="G34:G65" si="8">_xlfn.CONCAT(A34," - ",B34," - ",E34," (",F34,")")</f>
        <v>10 - 1 - Matière première (tonne)</v>
      </c>
      <c r="H34" s="50">
        <v>6.9</v>
      </c>
      <c r="I34" s="49">
        <v>1.2E-2</v>
      </c>
      <c r="K34" s="58" t="s">
        <v>266</v>
      </c>
      <c r="L34" s="58" t="s">
        <v>377</v>
      </c>
      <c r="M34" s="58" t="str">
        <f t="shared" si="2"/>
        <v>38 - INDUSTRIES GRAPHIQUES</v>
      </c>
      <c r="N34" s="58" t="str">
        <f t="shared" si="3"/>
        <v>38</v>
      </c>
      <c r="O34" s="58" t="str">
        <f t="shared" si="4"/>
        <v>_38</v>
      </c>
      <c r="P34" s="58" t="s">
        <v>378</v>
      </c>
      <c r="Q34" s="58"/>
      <c r="R34" s="58"/>
    </row>
    <row r="35" spans="1:19" ht="19.95" customHeight="1" thickBot="1" x14ac:dyDescent="0.35">
      <c r="A35" s="54">
        <v>10</v>
      </c>
      <c r="B35" s="54">
        <v>2</v>
      </c>
      <c r="C35" s="54"/>
      <c r="D35" s="54" t="s">
        <v>313</v>
      </c>
      <c r="E35" s="48" t="s">
        <v>228</v>
      </c>
      <c r="F35" s="49" t="s">
        <v>203</v>
      </c>
      <c r="G35" s="45" t="str">
        <f t="shared" si="8"/>
        <v>10 - 2 - Matière première (tonne)</v>
      </c>
      <c r="H35" s="50">
        <v>7</v>
      </c>
      <c r="I35" s="49">
        <v>1.0999999999999999E-2</v>
      </c>
      <c r="K35" s="58" t="s">
        <v>268</v>
      </c>
      <c r="L35" s="58" t="s">
        <v>379</v>
      </c>
      <c r="M35" s="58" t="str">
        <f t="shared" si="2"/>
        <v>40 - INDUSTRIE PHARMACEUTIQUE</v>
      </c>
      <c r="N35" s="58" t="str">
        <f t="shared" si="3"/>
        <v>40</v>
      </c>
      <c r="O35" s="58" t="str">
        <f t="shared" si="4"/>
        <v>_40</v>
      </c>
      <c r="P35" s="59" t="str">
        <f>L35</f>
        <v>INDUSTRIE PHARMACEUTIQUE</v>
      </c>
      <c r="Q35" s="58"/>
      <c r="R35" s="58"/>
    </row>
    <row r="36" spans="1:19" ht="19.95" customHeight="1" thickBot="1" x14ac:dyDescent="0.35">
      <c r="A36" s="54">
        <v>10</v>
      </c>
      <c r="B36" s="54">
        <v>3</v>
      </c>
      <c r="C36" s="54"/>
      <c r="D36" s="54" t="s">
        <v>314</v>
      </c>
      <c r="E36" s="48" t="s">
        <v>228</v>
      </c>
      <c r="F36" s="49" t="s">
        <v>203</v>
      </c>
      <c r="G36" s="45" t="str">
        <f t="shared" si="8"/>
        <v>10 - 3 - Matière première (tonne)</v>
      </c>
      <c r="H36" s="50">
        <v>10</v>
      </c>
      <c r="I36" s="49">
        <v>1.0999999999999999E-2</v>
      </c>
      <c r="K36" s="58" t="s">
        <v>269</v>
      </c>
      <c r="L36" s="58" t="s">
        <v>173</v>
      </c>
      <c r="M36" s="58" t="str">
        <f t="shared" si="2"/>
        <v>42 - LABORATOIRES</v>
      </c>
      <c r="N36" s="58" t="str">
        <f t="shared" si="3"/>
        <v>42</v>
      </c>
      <c r="O36" s="58" t="str">
        <f t="shared" si="4"/>
        <v>_42</v>
      </c>
      <c r="P36" s="59" t="str">
        <f>L36</f>
        <v>LABORATOIRES</v>
      </c>
      <c r="Q36" s="58"/>
      <c r="R36" s="58"/>
    </row>
    <row r="37" spans="1:19" ht="19.95" customHeight="1" thickBot="1" x14ac:dyDescent="0.35">
      <c r="A37" s="54">
        <v>10</v>
      </c>
      <c r="B37" s="54">
        <v>4</v>
      </c>
      <c r="C37" s="54"/>
      <c r="D37" s="54" t="s">
        <v>315</v>
      </c>
      <c r="E37" s="48" t="s">
        <v>228</v>
      </c>
      <c r="F37" s="49" t="s">
        <v>203</v>
      </c>
      <c r="G37" s="45" t="str">
        <f t="shared" si="8"/>
        <v>10 - 4 - Matière première (tonne)</v>
      </c>
      <c r="H37" s="50">
        <v>10</v>
      </c>
      <c r="I37" s="49">
        <v>1.0999999999999999E-2</v>
      </c>
      <c r="K37" s="58" t="s">
        <v>270</v>
      </c>
      <c r="L37" s="58" t="s">
        <v>380</v>
      </c>
      <c r="M37" s="58" t="str">
        <f t="shared" si="2"/>
        <v>43 - INDUSTRIE DE L'AMIANTE</v>
      </c>
      <c r="N37" s="58" t="str">
        <f t="shared" si="3"/>
        <v>43</v>
      </c>
      <c r="O37" s="58" t="str">
        <f t="shared" si="4"/>
        <v>_43</v>
      </c>
      <c r="P37" s="58" t="s">
        <v>381</v>
      </c>
      <c r="Q37" s="58"/>
      <c r="R37" s="58"/>
    </row>
    <row r="38" spans="1:19" ht="19.95" customHeight="1" thickBot="1" x14ac:dyDescent="0.35">
      <c r="A38" s="54">
        <v>10</v>
      </c>
      <c r="B38" s="54">
        <v>5</v>
      </c>
      <c r="C38" s="54"/>
      <c r="D38" s="54" t="s">
        <v>316</v>
      </c>
      <c r="E38" s="48" t="s">
        <v>228</v>
      </c>
      <c r="F38" s="49" t="s">
        <v>203</v>
      </c>
      <c r="G38" s="45" t="str">
        <f t="shared" si="8"/>
        <v>10 - 5 - Matière première (tonne)</v>
      </c>
      <c r="H38" s="50">
        <v>20</v>
      </c>
      <c r="I38" s="49">
        <v>1.0999999999999999E-2</v>
      </c>
      <c r="K38" s="58" t="s">
        <v>271</v>
      </c>
      <c r="L38" s="58" t="s">
        <v>382</v>
      </c>
      <c r="M38" s="58" t="str">
        <f t="shared" si="2"/>
        <v>45 - INDUSTRIE DE DIOXYDE DE TITANE</v>
      </c>
      <c r="N38" s="58" t="str">
        <f t="shared" si="3"/>
        <v>45</v>
      </c>
      <c r="O38" s="58" t="str">
        <f t="shared" si="4"/>
        <v>_45</v>
      </c>
      <c r="P38" s="59" t="str">
        <f>L38</f>
        <v>INDUSTRIE DE DIOXYDE DE TITANE</v>
      </c>
      <c r="Q38" s="58"/>
      <c r="R38" s="58"/>
    </row>
    <row r="39" spans="1:19" ht="19.95" customHeight="1" thickBot="1" x14ac:dyDescent="0.35">
      <c r="A39" s="54">
        <v>12</v>
      </c>
      <c r="B39" s="54">
        <v>1</v>
      </c>
      <c r="C39" s="54" t="s">
        <v>317</v>
      </c>
      <c r="D39" s="54" t="s">
        <v>318</v>
      </c>
      <c r="E39" s="48" t="s">
        <v>229</v>
      </c>
      <c r="F39" s="49" t="s">
        <v>203</v>
      </c>
      <c r="G39" s="45" t="str">
        <f t="shared" si="8"/>
        <v>12 - 1 - Bière (tonne)</v>
      </c>
      <c r="H39" s="49">
        <v>1.33</v>
      </c>
      <c r="I39" s="49">
        <v>0.01</v>
      </c>
      <c r="K39" s="58" t="s">
        <v>272</v>
      </c>
      <c r="L39" s="58" t="s">
        <v>383</v>
      </c>
      <c r="M39" s="58" t="str">
        <f t="shared" si="2"/>
        <v>48 - ENTREPRISES DE DESTRUCTION</v>
      </c>
      <c r="N39" s="58" t="str">
        <f t="shared" si="3"/>
        <v>48</v>
      </c>
      <c r="O39" s="58" t="str">
        <f t="shared" si="4"/>
        <v>_48</v>
      </c>
      <c r="P39" s="59" t="str">
        <f t="shared" ref="P39:P42" si="9">L39</f>
        <v>ENTREPRISES DE DESTRUCTION</v>
      </c>
      <c r="Q39" s="58"/>
      <c r="R39" s="58"/>
    </row>
    <row r="40" spans="1:19" ht="19.95" customHeight="1" thickBot="1" x14ac:dyDescent="0.35">
      <c r="A40" s="54">
        <v>12</v>
      </c>
      <c r="B40" s="54">
        <v>2</v>
      </c>
      <c r="C40" s="54"/>
      <c r="D40" s="54" t="s">
        <v>319</v>
      </c>
      <c r="E40" s="48" t="s">
        <v>229</v>
      </c>
      <c r="F40" s="49" t="s">
        <v>203</v>
      </c>
      <c r="G40" s="45" t="str">
        <f t="shared" si="8"/>
        <v>12 - 2 - Bière (tonne)</v>
      </c>
      <c r="H40" s="49">
        <v>0.34</v>
      </c>
      <c r="I40" s="49">
        <v>0.01</v>
      </c>
      <c r="K40" s="58" t="s">
        <v>274</v>
      </c>
      <c r="L40" s="58" t="s">
        <v>384</v>
      </c>
      <c r="M40" s="58" t="str">
        <f t="shared" si="2"/>
        <v>50 - PRODUCTION DE DDT</v>
      </c>
      <c r="N40" s="58" t="str">
        <f t="shared" si="3"/>
        <v>50</v>
      </c>
      <c r="O40" s="58" t="str">
        <f t="shared" si="4"/>
        <v>_50</v>
      </c>
      <c r="P40" s="59" t="str">
        <f t="shared" si="9"/>
        <v>PRODUCTION DE DDT</v>
      </c>
      <c r="Q40" s="58"/>
      <c r="R40" s="58"/>
    </row>
    <row r="41" spans="1:19" ht="19.95" customHeight="1" thickBot="1" x14ac:dyDescent="0.35">
      <c r="A41" s="54">
        <v>12</v>
      </c>
      <c r="B41" s="54">
        <v>3</v>
      </c>
      <c r="C41" s="54"/>
      <c r="D41" s="54" t="s">
        <v>320</v>
      </c>
      <c r="E41" s="48" t="s">
        <v>230</v>
      </c>
      <c r="F41" s="49" t="s">
        <v>203</v>
      </c>
      <c r="G41" s="45" t="str">
        <f t="shared" si="8"/>
        <v>12 - 3 - Orge (tonne)</v>
      </c>
      <c r="H41" s="49">
        <v>0.16</v>
      </c>
      <c r="I41" s="49">
        <v>0.01</v>
      </c>
      <c r="K41" s="58" t="s">
        <v>275</v>
      </c>
      <c r="L41" s="58" t="s">
        <v>385</v>
      </c>
      <c r="M41" s="58" t="str">
        <f t="shared" si="2"/>
        <v>53 - PRODUCTION DE SOUDE</v>
      </c>
      <c r="N41" s="58" t="str">
        <f t="shared" si="3"/>
        <v>53</v>
      </c>
      <c r="O41" s="58" t="str">
        <f t="shared" si="4"/>
        <v>_53</v>
      </c>
      <c r="P41" s="59" t="str">
        <f t="shared" si="9"/>
        <v>PRODUCTION DE SOUDE</v>
      </c>
      <c r="Q41" s="58"/>
      <c r="R41" s="58"/>
    </row>
    <row r="42" spans="1:19" ht="19.95" customHeight="1" thickBot="1" x14ac:dyDescent="0.35">
      <c r="A42" s="54">
        <v>12</v>
      </c>
      <c r="B42" s="54">
        <v>4</v>
      </c>
      <c r="C42" s="54"/>
      <c r="D42" s="54" t="s">
        <v>321</v>
      </c>
      <c r="E42" s="48" t="s">
        <v>230</v>
      </c>
      <c r="F42" s="49" t="s">
        <v>203</v>
      </c>
      <c r="G42" s="45" t="str">
        <f t="shared" si="8"/>
        <v>12 - 4 - Orge (tonne)</v>
      </c>
      <c r="H42" s="49">
        <v>0.16</v>
      </c>
      <c r="I42" s="49">
        <v>0.01</v>
      </c>
      <c r="K42" s="58" t="s">
        <v>276</v>
      </c>
      <c r="L42" s="58" t="s">
        <v>386</v>
      </c>
      <c r="M42" s="58" t="str">
        <f t="shared" si="2"/>
        <v>60 - TRANSFORMATION DE MATIERES PLASTIQUES</v>
      </c>
      <c r="N42" s="58" t="str">
        <f t="shared" si="3"/>
        <v>60</v>
      </c>
      <c r="O42" s="58" t="str">
        <f t="shared" si="4"/>
        <v>_60</v>
      </c>
      <c r="P42" s="59" t="str">
        <f t="shared" si="9"/>
        <v>TRANSFORMATION DE MATIERES PLASTIQUES</v>
      </c>
      <c r="Q42" s="58"/>
      <c r="R42" s="58"/>
    </row>
    <row r="43" spans="1:19" ht="19.95" customHeight="1" thickBot="1" x14ac:dyDescent="0.35">
      <c r="A43" s="54">
        <v>12</v>
      </c>
      <c r="B43" s="54">
        <v>5</v>
      </c>
      <c r="C43" s="54"/>
      <c r="D43" s="54" t="s">
        <v>322</v>
      </c>
      <c r="E43" s="48" t="s">
        <v>231</v>
      </c>
      <c r="F43" s="50" t="s">
        <v>219</v>
      </c>
      <c r="G43" s="45" t="str">
        <f t="shared" si="8"/>
        <v>12 - 5 - Produit fabriqué (m³)</v>
      </c>
      <c r="H43" s="49">
        <v>0.12</v>
      </c>
      <c r="I43" s="49">
        <v>0.01</v>
      </c>
      <c r="K43" s="78">
        <v>61</v>
      </c>
      <c r="L43" s="62" t="s">
        <v>178</v>
      </c>
      <c r="M43" s="58" t="str">
        <f t="shared" si="2"/>
        <v>61 - PISCINES</v>
      </c>
      <c r="N43" s="58">
        <f t="shared" ref="N43" si="10">K43</f>
        <v>61</v>
      </c>
      <c r="O43" s="58" t="str">
        <f t="shared" ref="O43" si="11">_xlfn.CONCAT("_",K43)</f>
        <v>_61</v>
      </c>
      <c r="P43" s="59" t="str">
        <f t="shared" ref="P43" si="12">L43</f>
        <v>PISCINES</v>
      </c>
    </row>
    <row r="44" spans="1:19" ht="19.95" customHeight="1" thickBot="1" x14ac:dyDescent="0.35">
      <c r="A44" s="54">
        <v>13</v>
      </c>
      <c r="B44" s="54"/>
      <c r="C44" s="54" t="s">
        <v>157</v>
      </c>
      <c r="D44" s="54"/>
      <c r="E44" s="48" t="s">
        <v>232</v>
      </c>
      <c r="F44" s="49" t="s">
        <v>203</v>
      </c>
      <c r="G44" s="45" t="str">
        <f t="shared" si="8"/>
        <v>13 -  - Laine brute lavée (tonne)</v>
      </c>
      <c r="H44" s="50">
        <v>7</v>
      </c>
      <c r="I44" s="49">
        <v>0.01</v>
      </c>
      <c r="K44" s="58" t="s">
        <v>277</v>
      </c>
      <c r="L44" s="58" t="s">
        <v>387</v>
      </c>
      <c r="M44" s="58" t="str">
        <f t="shared" ref="M44:M54" si="13">_xlfn.CONCAT(K44," - ",L44)</f>
        <v>66 - HOPITAUX (Au sens des articles 2 et 4 de la loi relative aux hôpitaux et à d’autres établissements de soins, coordonnée le 10 /07/2008)</v>
      </c>
      <c r="N44" s="58" t="str">
        <f t="shared" ref="N44:N54" si="14">K44</f>
        <v>66</v>
      </c>
      <c r="O44" s="58" t="str">
        <f t="shared" ref="O44:O54" si="15">_xlfn.CONCAT("_",K44)</f>
        <v>_66</v>
      </c>
      <c r="P44" s="58" t="s">
        <v>388</v>
      </c>
      <c r="Q44" s="58" t="s">
        <v>389</v>
      </c>
      <c r="R44" s="58"/>
    </row>
    <row r="45" spans="1:19" ht="19.95" customHeight="1" thickBot="1" x14ac:dyDescent="0.35">
      <c r="A45" s="54">
        <v>14</v>
      </c>
      <c r="B45" s="54">
        <v>1</v>
      </c>
      <c r="C45" s="54" t="s">
        <v>323</v>
      </c>
      <c r="D45" s="54" t="s">
        <v>324</v>
      </c>
      <c r="E45" s="48" t="s">
        <v>233</v>
      </c>
      <c r="F45" s="49" t="s">
        <v>203</v>
      </c>
      <c r="G45" s="45" t="str">
        <f t="shared" si="8"/>
        <v>14 - 1 - Papier de pâte mécanique ou de cellulose (tonne)</v>
      </c>
      <c r="H45" s="50">
        <v>1.6</v>
      </c>
      <c r="I45" s="49">
        <v>0.01</v>
      </c>
      <c r="K45" s="58" t="s">
        <v>278</v>
      </c>
      <c r="L45" s="58" t="s">
        <v>390</v>
      </c>
      <c r="M45" s="58" t="str">
        <f t="shared" si="13"/>
        <v>79 - INDUSTRIE MANUFACTURIERE</v>
      </c>
      <c r="N45" s="58" t="str">
        <f t="shared" si="14"/>
        <v>79</v>
      </c>
      <c r="O45" s="58" t="str">
        <f t="shared" si="15"/>
        <v>_79</v>
      </c>
      <c r="P45" s="58" t="s">
        <v>391</v>
      </c>
      <c r="Q45" s="58" t="s">
        <v>392</v>
      </c>
      <c r="R45" s="58"/>
    </row>
    <row r="46" spans="1:19" ht="19.95" customHeight="1" thickBot="1" x14ac:dyDescent="0.35">
      <c r="A46" s="54">
        <v>14</v>
      </c>
      <c r="B46" s="54">
        <v>2</v>
      </c>
      <c r="C46" s="54"/>
      <c r="D46" s="54"/>
      <c r="E46" s="48" t="s">
        <v>234</v>
      </c>
      <c r="F46" s="49" t="s">
        <v>203</v>
      </c>
      <c r="G46" s="45" t="str">
        <f t="shared" si="8"/>
        <v>14 - 2 - Papier provenant d'autres matières (tonne)</v>
      </c>
      <c r="H46" s="50">
        <v>7.8</v>
      </c>
      <c r="I46" s="49">
        <v>0.01</v>
      </c>
      <c r="K46" s="58" t="s">
        <v>280</v>
      </c>
      <c r="L46" s="58" t="s">
        <v>393</v>
      </c>
      <c r="M46" s="58" t="str">
        <f t="shared" si="13"/>
        <v>80 - PRODUCTION DE PRODUITS PYROTECHNIQUES</v>
      </c>
      <c r="N46" s="58" t="str">
        <f t="shared" si="14"/>
        <v>80</v>
      </c>
      <c r="O46" s="58" t="str">
        <f t="shared" si="15"/>
        <v>_80</v>
      </c>
      <c r="P46" s="59" t="str">
        <f>L46</f>
        <v>PRODUCTION DE PRODUITS PYROTECHNIQUES</v>
      </c>
      <c r="Q46" s="58"/>
      <c r="R46" s="58"/>
    </row>
    <row r="47" spans="1:19" ht="19.95" customHeight="1" thickBot="1" x14ac:dyDescent="0.35">
      <c r="A47" s="54">
        <v>14</v>
      </c>
      <c r="B47" s="54">
        <v>3</v>
      </c>
      <c r="C47" s="54"/>
      <c r="D47" s="54" t="s">
        <v>325</v>
      </c>
      <c r="E47" s="48" t="s">
        <v>235</v>
      </c>
      <c r="F47" s="49" t="s">
        <v>203</v>
      </c>
      <c r="G47" s="45" t="str">
        <f t="shared" si="8"/>
        <v>14 - 3 - Carton (tonne)</v>
      </c>
      <c r="H47" s="50">
        <v>4.9000000000000004</v>
      </c>
      <c r="I47" s="49">
        <v>0.01</v>
      </c>
      <c r="K47" s="58" t="s">
        <v>281</v>
      </c>
      <c r="L47" s="58" t="s">
        <v>394</v>
      </c>
      <c r="M47" s="58" t="str">
        <f t="shared" si="13"/>
        <v>83 - INDUSTRIE TEXTILE</v>
      </c>
      <c r="N47" s="58" t="str">
        <f t="shared" si="14"/>
        <v>83</v>
      </c>
      <c r="O47" s="58" t="str">
        <f t="shared" si="15"/>
        <v>_83</v>
      </c>
      <c r="P47" s="58" t="s">
        <v>395</v>
      </c>
      <c r="Q47" s="58" t="s">
        <v>396</v>
      </c>
      <c r="R47" s="58"/>
    </row>
    <row r="48" spans="1:19" ht="19.95" customHeight="1" thickBot="1" x14ac:dyDescent="0.35">
      <c r="A48" s="54">
        <v>15</v>
      </c>
      <c r="B48" s="54"/>
      <c r="C48" s="54" t="s">
        <v>326</v>
      </c>
      <c r="D48" s="54"/>
      <c r="E48" s="48" t="s">
        <v>216</v>
      </c>
      <c r="F48" s="49" t="s">
        <v>217</v>
      </c>
      <c r="G48" s="45" t="str">
        <f t="shared" si="8"/>
        <v>15 -  - Journée de travail (100 j.)</v>
      </c>
      <c r="H48" s="49">
        <f>0.35/100</f>
        <v>3.4999999999999996E-3</v>
      </c>
      <c r="I48" s="49">
        <v>1.4E-2</v>
      </c>
      <c r="K48" s="58" t="s">
        <v>282</v>
      </c>
      <c r="L48" s="58" t="s">
        <v>397</v>
      </c>
      <c r="M48" s="58" t="str">
        <f t="shared" si="13"/>
        <v>84 - INDUSTRIE CHIMIQUE (hors secteurs déjà définis ailleurs)</v>
      </c>
      <c r="N48" s="58" t="str">
        <f t="shared" si="14"/>
        <v>84</v>
      </c>
      <c r="O48" s="58" t="str">
        <f t="shared" si="15"/>
        <v>_84</v>
      </c>
      <c r="P48" s="58" t="s">
        <v>398</v>
      </c>
      <c r="Q48" s="63" t="s">
        <v>399</v>
      </c>
      <c r="R48" s="58"/>
    </row>
    <row r="49" spans="1:20" ht="19.95" customHeight="1" thickBot="1" x14ac:dyDescent="0.35">
      <c r="A49" s="54">
        <v>16</v>
      </c>
      <c r="B49" s="54">
        <v>1</v>
      </c>
      <c r="C49" s="54" t="s">
        <v>160</v>
      </c>
      <c r="D49" s="54" t="s">
        <v>327</v>
      </c>
      <c r="E49" s="48" t="s">
        <v>236</v>
      </c>
      <c r="F49" s="49" t="s">
        <v>203</v>
      </c>
      <c r="G49" s="45" t="str">
        <f t="shared" si="8"/>
        <v>16 - 1 - Poids de porcs abattus (tonne)</v>
      </c>
      <c r="H49" s="49">
        <v>2.2400000000000002</v>
      </c>
      <c r="I49" s="49">
        <v>0.01</v>
      </c>
      <c r="K49" s="58" t="s">
        <v>283</v>
      </c>
      <c r="L49" s="58" t="s">
        <v>400</v>
      </c>
      <c r="M49" s="58" t="str">
        <f t="shared" si="13"/>
        <v>85 - INDUSTRIE DES PRODUITS MINERAUX NON METALLIQUES</v>
      </c>
      <c r="N49" s="58" t="str">
        <f t="shared" si="14"/>
        <v>85</v>
      </c>
      <c r="O49" s="58" t="str">
        <f t="shared" si="15"/>
        <v>_85</v>
      </c>
      <c r="P49" s="58" t="s">
        <v>401</v>
      </c>
      <c r="Q49" s="58" t="s">
        <v>402</v>
      </c>
      <c r="R49" s="58"/>
    </row>
    <row r="50" spans="1:20" ht="19.95" customHeight="1" thickBot="1" x14ac:dyDescent="0.35">
      <c r="A50" s="54">
        <v>16</v>
      </c>
      <c r="B50" s="54">
        <v>2</v>
      </c>
      <c r="C50" s="54"/>
      <c r="D50" s="54" t="s">
        <v>328</v>
      </c>
      <c r="E50" s="48" t="s">
        <v>236</v>
      </c>
      <c r="F50" s="49" t="s">
        <v>203</v>
      </c>
      <c r="G50" s="45" t="str">
        <f t="shared" si="8"/>
        <v>16 - 2 - Poids de porcs abattus (tonne)</v>
      </c>
      <c r="H50" s="49">
        <v>1.71</v>
      </c>
      <c r="I50" s="49">
        <v>0.01</v>
      </c>
      <c r="K50" s="58" t="s">
        <v>284</v>
      </c>
      <c r="L50" s="58" t="s">
        <v>403</v>
      </c>
      <c r="M50" s="58" t="str">
        <f t="shared" si="13"/>
        <v>86 - INDUSTRIE DU CAOUTCHOUC</v>
      </c>
      <c r="N50" s="58" t="str">
        <f t="shared" si="14"/>
        <v>86</v>
      </c>
      <c r="O50" s="58" t="str">
        <f t="shared" si="15"/>
        <v>_86</v>
      </c>
      <c r="P50" s="58" t="s">
        <v>404</v>
      </c>
      <c r="Q50" s="58"/>
      <c r="R50" s="58"/>
    </row>
    <row r="51" spans="1:20" ht="19.95" customHeight="1" thickBot="1" x14ac:dyDescent="0.35">
      <c r="A51" s="54">
        <v>16</v>
      </c>
      <c r="B51" s="54">
        <v>3</v>
      </c>
      <c r="C51" s="54"/>
      <c r="D51" s="54" t="s">
        <v>329</v>
      </c>
      <c r="E51" s="48" t="s">
        <v>236</v>
      </c>
      <c r="F51" s="49" t="s">
        <v>203</v>
      </c>
      <c r="G51" s="45" t="str">
        <f t="shared" si="8"/>
        <v>16 - 3 - Poids de porcs abattus (tonne)</v>
      </c>
      <c r="H51" s="49">
        <v>0.53</v>
      </c>
      <c r="I51" s="49">
        <v>0.01</v>
      </c>
      <c r="K51" s="58" t="s">
        <v>285</v>
      </c>
      <c r="L51" s="58" t="s">
        <v>405</v>
      </c>
      <c r="M51" s="58" t="str">
        <f t="shared" si="13"/>
        <v>88 - FABRICATION DE BATTERIES PRIMAIRES ET SECONDAIRES</v>
      </c>
      <c r="N51" s="58" t="str">
        <f t="shared" si="14"/>
        <v>88</v>
      </c>
      <c r="O51" s="58" t="str">
        <f t="shared" si="15"/>
        <v>_88</v>
      </c>
      <c r="P51" s="59" t="str">
        <f>L51</f>
        <v>FABRICATION DE BATTERIES PRIMAIRES ET SECONDAIRES</v>
      </c>
      <c r="Q51" s="58"/>
      <c r="R51" s="58"/>
    </row>
    <row r="52" spans="1:20" ht="19.95" customHeight="1" thickBot="1" x14ac:dyDescent="0.35">
      <c r="A52" s="54">
        <v>16</v>
      </c>
      <c r="B52" s="54">
        <v>4</v>
      </c>
      <c r="C52" s="54"/>
      <c r="D52" s="54" t="s">
        <v>330</v>
      </c>
      <c r="E52" s="48" t="s">
        <v>236</v>
      </c>
      <c r="F52" s="49" t="s">
        <v>203</v>
      </c>
      <c r="G52" s="45" t="str">
        <f t="shared" si="8"/>
        <v>16 - 4 - Poids de porcs abattus (tonne)</v>
      </c>
      <c r="H52" s="49">
        <v>1.06</v>
      </c>
      <c r="I52" s="49">
        <v>0.01</v>
      </c>
      <c r="K52" s="58" t="s">
        <v>286</v>
      </c>
      <c r="L52" s="58" t="s">
        <v>406</v>
      </c>
      <c r="M52" s="58" t="str">
        <f t="shared" si="13"/>
        <v>90 - CENTRALES ELECTRIQUES</v>
      </c>
      <c r="N52" s="58" t="str">
        <f t="shared" si="14"/>
        <v>90</v>
      </c>
      <c r="O52" s="58" t="str">
        <f t="shared" si="15"/>
        <v>_90</v>
      </c>
      <c r="P52" s="59" t="str">
        <f>L52</f>
        <v>CENTRALES ELECTRIQUES</v>
      </c>
      <c r="Q52" s="58"/>
      <c r="R52" s="58"/>
    </row>
    <row r="53" spans="1:20" ht="19.95" customHeight="1" thickBot="1" x14ac:dyDescent="0.35">
      <c r="A53" s="54">
        <v>16</v>
      </c>
      <c r="B53" s="54">
        <v>5</v>
      </c>
      <c r="C53" s="54"/>
      <c r="D53" s="54" t="s">
        <v>331</v>
      </c>
      <c r="E53" s="48" t="s">
        <v>236</v>
      </c>
      <c r="F53" s="49" t="s">
        <v>203</v>
      </c>
      <c r="G53" s="45" t="str">
        <f t="shared" si="8"/>
        <v>16 - 5 - Poids de porcs abattus (tonne)</v>
      </c>
      <c r="H53" s="49">
        <v>2.0099999999999998</v>
      </c>
      <c r="I53" s="49">
        <v>0.01</v>
      </c>
      <c r="K53" s="58" t="s">
        <v>287</v>
      </c>
      <c r="L53" s="58" t="s">
        <v>407</v>
      </c>
      <c r="M53" s="58" t="str">
        <f t="shared" si="13"/>
        <v>92 - AUTRES INDUSTRIES ALIMENTAIRES</v>
      </c>
      <c r="N53" s="58" t="str">
        <f t="shared" si="14"/>
        <v>92</v>
      </c>
      <c r="O53" s="58" t="str">
        <f t="shared" si="15"/>
        <v>_92</v>
      </c>
      <c r="P53" s="58" t="s">
        <v>408</v>
      </c>
      <c r="Q53" s="58" t="s">
        <v>409</v>
      </c>
      <c r="R53" s="58" t="s">
        <v>410</v>
      </c>
      <c r="S53" s="58" t="s">
        <v>411</v>
      </c>
      <c r="T53" s="54" t="s">
        <v>412</v>
      </c>
    </row>
    <row r="54" spans="1:20" ht="19.95" customHeight="1" thickBot="1" x14ac:dyDescent="0.35">
      <c r="A54" s="54">
        <v>16</v>
      </c>
      <c r="B54" s="54">
        <v>6</v>
      </c>
      <c r="C54" s="54"/>
      <c r="D54" s="54" t="s">
        <v>332</v>
      </c>
      <c r="E54" s="48" t="s">
        <v>236</v>
      </c>
      <c r="F54" s="49" t="s">
        <v>203</v>
      </c>
      <c r="G54" s="45" t="str">
        <f t="shared" si="8"/>
        <v>16 - 6 - Poids de porcs abattus (tonne)</v>
      </c>
      <c r="H54" s="49">
        <v>1.48</v>
      </c>
      <c r="I54" s="49">
        <v>0.01</v>
      </c>
      <c r="K54" s="58" t="s">
        <v>289</v>
      </c>
      <c r="L54" s="58" t="s">
        <v>413</v>
      </c>
      <c r="M54" s="58" t="str">
        <f t="shared" si="13"/>
        <v>93 - ATELIERS DE REPARATION D'AUTOMOBILES, DE TRAMS OU DE TRAINS, GARAGES ET CAR-WASH</v>
      </c>
      <c r="N54" s="58" t="str">
        <f t="shared" si="14"/>
        <v>93</v>
      </c>
      <c r="O54" s="58" t="str">
        <f t="shared" si="15"/>
        <v>_93</v>
      </c>
      <c r="P54" s="59" t="str">
        <f>L54</f>
        <v>ATELIERS DE REPARATION D'AUTOMOBILES, DE TRAMS OU DE TRAINS, GARAGES ET CAR-WASH</v>
      </c>
      <c r="Q54" s="58"/>
      <c r="R54" s="58"/>
    </row>
    <row r="55" spans="1:20" ht="19.95" customHeight="1" thickBot="1" x14ac:dyDescent="0.35">
      <c r="A55" s="54">
        <v>16</v>
      </c>
      <c r="B55" s="54">
        <v>7</v>
      </c>
      <c r="C55" s="54"/>
      <c r="D55" s="54" t="s">
        <v>333</v>
      </c>
      <c r="E55" s="48" t="s">
        <v>236</v>
      </c>
      <c r="F55" s="49" t="s">
        <v>203</v>
      </c>
      <c r="G55" s="45" t="str">
        <f t="shared" si="8"/>
        <v>16 - 7 - Poids de porcs abattus (tonne)</v>
      </c>
      <c r="H55" s="50">
        <v>0.3</v>
      </c>
      <c r="I55" s="49">
        <v>0.01</v>
      </c>
      <c r="K55" s="59"/>
      <c r="L55" s="59"/>
      <c r="M55" s="59"/>
      <c r="N55" s="59"/>
      <c r="O55" s="59"/>
      <c r="Q55" s="58"/>
      <c r="R55" s="58"/>
    </row>
    <row r="56" spans="1:20" ht="19.95" customHeight="1" thickBot="1" x14ac:dyDescent="0.35">
      <c r="A56" s="54">
        <v>16</v>
      </c>
      <c r="B56" s="54">
        <v>8</v>
      </c>
      <c r="C56" s="54"/>
      <c r="D56" s="54" t="s">
        <v>334</v>
      </c>
      <c r="E56" s="48" t="s">
        <v>236</v>
      </c>
      <c r="F56" s="49" t="s">
        <v>203</v>
      </c>
      <c r="G56" s="45" t="str">
        <f t="shared" si="8"/>
        <v>16 - 8 - Poids de porcs abattus (tonne)</v>
      </c>
      <c r="H56" s="49">
        <v>0.83</v>
      </c>
      <c r="I56" s="49">
        <v>0.01</v>
      </c>
      <c r="K56" s="59"/>
      <c r="L56" s="59"/>
      <c r="M56" s="59"/>
      <c r="N56" s="59"/>
      <c r="O56" s="59"/>
      <c r="Q56" s="58"/>
      <c r="R56" s="58"/>
    </row>
    <row r="57" spans="1:20" ht="19.95" customHeight="1" thickBot="1" x14ac:dyDescent="0.35">
      <c r="A57" s="54">
        <v>16</v>
      </c>
      <c r="B57" s="54">
        <v>9</v>
      </c>
      <c r="C57" s="54"/>
      <c r="D57" s="54" t="s">
        <v>335</v>
      </c>
      <c r="E57" s="48" t="s">
        <v>237</v>
      </c>
      <c r="F57" s="49" t="s">
        <v>203</v>
      </c>
      <c r="G57" s="45" t="str">
        <f t="shared" si="8"/>
        <v>16 - 9 - Poids d'animaux abattus (tonne)</v>
      </c>
      <c r="H57" s="49">
        <v>0.52</v>
      </c>
      <c r="I57" s="49">
        <v>0.01</v>
      </c>
      <c r="K57" s="59"/>
      <c r="L57" s="59"/>
      <c r="M57" s="59"/>
      <c r="N57" s="59"/>
      <c r="O57" s="59"/>
      <c r="Q57" s="58"/>
      <c r="R57" s="58"/>
    </row>
    <row r="58" spans="1:20" ht="19.95" customHeight="1" thickBot="1" x14ac:dyDescent="0.35">
      <c r="A58" s="54">
        <v>16</v>
      </c>
      <c r="B58" s="54">
        <v>10</v>
      </c>
      <c r="C58" s="54"/>
      <c r="D58" s="54" t="s">
        <v>336</v>
      </c>
      <c r="E58" s="48" t="s">
        <v>237</v>
      </c>
      <c r="F58" s="49" t="s">
        <v>203</v>
      </c>
      <c r="G58" s="45" t="str">
        <f t="shared" si="8"/>
        <v>16 - 10 - Poids d'animaux abattus (tonne)</v>
      </c>
      <c r="H58" s="49">
        <v>1.48</v>
      </c>
      <c r="I58" s="49">
        <v>0.01</v>
      </c>
      <c r="K58" s="59"/>
      <c r="L58" s="59"/>
      <c r="M58" s="59"/>
      <c r="N58" s="59"/>
      <c r="O58" s="59"/>
      <c r="Q58" s="58"/>
      <c r="R58" s="58"/>
    </row>
    <row r="59" spans="1:20" ht="19.95" customHeight="1" thickBot="1" x14ac:dyDescent="0.35">
      <c r="A59" s="54">
        <v>16</v>
      </c>
      <c r="B59" s="54">
        <v>11</v>
      </c>
      <c r="C59" s="54"/>
      <c r="D59" s="54" t="s">
        <v>337</v>
      </c>
      <c r="E59" s="48" t="s">
        <v>237</v>
      </c>
      <c r="F59" s="49" t="s">
        <v>203</v>
      </c>
      <c r="G59" s="45" t="str">
        <f t="shared" si="8"/>
        <v>16 - 11 - Poids d'animaux abattus (tonne)</v>
      </c>
      <c r="H59" s="50">
        <v>1.7</v>
      </c>
      <c r="I59" s="49">
        <v>0.01</v>
      </c>
      <c r="K59" s="59"/>
      <c r="L59" s="59"/>
      <c r="M59" s="59"/>
      <c r="N59" s="59"/>
      <c r="O59" s="59"/>
      <c r="Q59" s="58"/>
      <c r="R59" s="58"/>
    </row>
    <row r="60" spans="1:20" ht="19.95" customHeight="1" thickBot="1" x14ac:dyDescent="0.35">
      <c r="A60" s="54">
        <v>16</v>
      </c>
      <c r="B60" s="54">
        <v>12</v>
      </c>
      <c r="C60" s="54"/>
      <c r="D60" s="54" t="s">
        <v>338</v>
      </c>
      <c r="E60" s="48" t="s">
        <v>237</v>
      </c>
      <c r="F60" s="49" t="s">
        <v>203</v>
      </c>
      <c r="G60" s="45" t="str">
        <f t="shared" si="8"/>
        <v>16 - 12 - Poids d'animaux abattus (tonne)</v>
      </c>
      <c r="H60" s="49">
        <v>2.66</v>
      </c>
      <c r="I60" s="49">
        <v>0.01</v>
      </c>
      <c r="K60" s="59"/>
      <c r="L60" s="59"/>
      <c r="M60" s="59"/>
      <c r="N60" s="59"/>
      <c r="O60" s="59"/>
      <c r="Q60" s="58"/>
      <c r="R60" s="58"/>
    </row>
    <row r="61" spans="1:20" ht="19.95" customHeight="1" thickBot="1" x14ac:dyDescent="0.35">
      <c r="A61" s="54">
        <v>17</v>
      </c>
      <c r="B61" s="54">
        <v>1</v>
      </c>
      <c r="C61" s="54" t="s">
        <v>339</v>
      </c>
      <c r="D61" s="54" t="s">
        <v>340</v>
      </c>
      <c r="E61" s="48" t="s">
        <v>238</v>
      </c>
      <c r="F61" s="49" t="s">
        <v>203</v>
      </c>
      <c r="G61" s="45" t="str">
        <f t="shared" si="8"/>
        <v>17 - 1 - Pommes, poires, fraises (tonne)</v>
      </c>
      <c r="H61" s="49">
        <v>1.02</v>
      </c>
      <c r="I61" s="49">
        <v>0.01</v>
      </c>
      <c r="K61" s="59"/>
      <c r="L61" s="59"/>
      <c r="M61" s="59"/>
      <c r="N61" s="59"/>
      <c r="O61" s="59"/>
      <c r="Q61" s="58"/>
      <c r="R61" s="58"/>
    </row>
    <row r="62" spans="1:20" ht="19.95" customHeight="1" thickBot="1" x14ac:dyDescent="0.35">
      <c r="A62" s="54">
        <v>17</v>
      </c>
      <c r="B62" s="54">
        <v>2</v>
      </c>
      <c r="C62" s="54"/>
      <c r="D62" s="54"/>
      <c r="E62" s="48" t="s">
        <v>239</v>
      </c>
      <c r="F62" s="49" t="s">
        <v>203</v>
      </c>
      <c r="G62" s="45" t="str">
        <f t="shared" si="8"/>
        <v>17 - 2 - Cerises, mûres, groseilles et autres fruits doux (tonne)</v>
      </c>
      <c r="H62" s="49">
        <v>0.73</v>
      </c>
      <c r="I62" s="49">
        <v>0.01</v>
      </c>
      <c r="K62" s="59"/>
      <c r="L62" s="59"/>
      <c r="M62" s="59"/>
      <c r="N62" s="59"/>
      <c r="O62" s="59"/>
      <c r="Q62" s="58"/>
      <c r="R62" s="58"/>
    </row>
    <row r="63" spans="1:20" ht="19.95" customHeight="1" thickBot="1" x14ac:dyDescent="0.35">
      <c r="A63" s="54">
        <v>17</v>
      </c>
      <c r="B63" s="54">
        <v>3</v>
      </c>
      <c r="C63" s="54"/>
      <c r="D63" s="54" t="s">
        <v>341</v>
      </c>
      <c r="E63" s="48" t="s">
        <v>240</v>
      </c>
      <c r="F63" s="49" t="s">
        <v>203</v>
      </c>
      <c r="G63" s="45" t="str">
        <f t="shared" si="8"/>
        <v>17 - 3 - Pommes de terre épluchées (tonne)</v>
      </c>
      <c r="H63" s="49">
        <v>1.75</v>
      </c>
      <c r="I63" s="49">
        <v>0.01</v>
      </c>
      <c r="K63" s="59"/>
      <c r="L63" s="59"/>
      <c r="M63" s="59"/>
      <c r="N63" s="59"/>
      <c r="O63" s="59"/>
      <c r="Q63" s="58"/>
      <c r="R63" s="58"/>
    </row>
    <row r="64" spans="1:20" ht="19.95" customHeight="1" thickBot="1" x14ac:dyDescent="0.35">
      <c r="A64" s="54">
        <v>17</v>
      </c>
      <c r="B64" s="54">
        <v>4</v>
      </c>
      <c r="C64" s="54"/>
      <c r="D64" s="54"/>
      <c r="E64" s="48" t="s">
        <v>241</v>
      </c>
      <c r="F64" s="49" t="s">
        <v>203</v>
      </c>
      <c r="G64" s="45" t="str">
        <f t="shared" si="8"/>
        <v>17 - 4 - Pommes de terre blanchies (tonne)</v>
      </c>
      <c r="H64" s="50">
        <v>1.9</v>
      </c>
      <c r="I64" s="49">
        <v>0.01</v>
      </c>
      <c r="K64" s="59"/>
      <c r="L64" s="59"/>
      <c r="M64" s="59"/>
      <c r="N64" s="59"/>
      <c r="O64" s="59"/>
      <c r="Q64" s="58"/>
      <c r="R64" s="58"/>
    </row>
    <row r="65" spans="1:18" ht="19.95" customHeight="1" thickBot="1" x14ac:dyDescent="0.35">
      <c r="A65" s="54">
        <v>17</v>
      </c>
      <c r="B65" s="54">
        <v>5</v>
      </c>
      <c r="C65" s="54"/>
      <c r="D65" s="54"/>
      <c r="E65" s="48" t="s">
        <v>242</v>
      </c>
      <c r="F65" s="49" t="s">
        <v>203</v>
      </c>
      <c r="G65" s="45" t="str">
        <f t="shared" si="8"/>
        <v>17 - 5 - Carottes, oignons (tonne)</v>
      </c>
      <c r="H65" s="50">
        <v>1.3</v>
      </c>
      <c r="I65" s="49">
        <v>0.01</v>
      </c>
      <c r="K65" s="59"/>
      <c r="L65" s="59"/>
      <c r="M65" s="59"/>
      <c r="N65" s="59"/>
      <c r="O65" s="59"/>
      <c r="Q65" s="58"/>
      <c r="R65" s="58"/>
    </row>
    <row r="66" spans="1:18" ht="19.95" customHeight="1" thickBot="1" x14ac:dyDescent="0.35">
      <c r="A66" s="54">
        <v>17</v>
      </c>
      <c r="B66" s="54">
        <v>6</v>
      </c>
      <c r="C66" s="54"/>
      <c r="D66" s="54"/>
      <c r="E66" s="48" t="s">
        <v>243</v>
      </c>
      <c r="F66" s="49" t="s">
        <v>203</v>
      </c>
      <c r="G66" s="45" t="str">
        <f t="shared" ref="G66:G97" si="16">_xlfn.CONCAT(A66," - ",B66," - ",E66," (",F66,")")</f>
        <v>17 - 6 - Betteraves rouges (tonne)</v>
      </c>
      <c r="H66" s="50">
        <v>2.1</v>
      </c>
      <c r="I66" s="49">
        <v>0.01</v>
      </c>
      <c r="K66" s="59"/>
      <c r="L66" s="59"/>
      <c r="M66" s="59"/>
      <c r="N66" s="59"/>
      <c r="O66" s="59"/>
      <c r="Q66" s="58"/>
      <c r="R66" s="58"/>
    </row>
    <row r="67" spans="1:18" ht="19.95" customHeight="1" thickBot="1" x14ac:dyDescent="0.35">
      <c r="A67" s="54">
        <v>17</v>
      </c>
      <c r="B67" s="54">
        <v>7</v>
      </c>
      <c r="C67" s="54"/>
      <c r="D67" s="54"/>
      <c r="E67" s="48" t="s">
        <v>244</v>
      </c>
      <c r="F67" s="49" t="s">
        <v>203</v>
      </c>
      <c r="G67" s="45" t="str">
        <f t="shared" si="16"/>
        <v>17 - 7 - Légumes de soupe verte julienne (tonne)</v>
      </c>
      <c r="H67" s="49">
        <v>0.96</v>
      </c>
      <c r="I67" s="49">
        <v>0.01</v>
      </c>
      <c r="K67" s="59"/>
      <c r="L67" s="59"/>
      <c r="M67" s="59"/>
      <c r="N67" s="59"/>
      <c r="O67" s="59"/>
      <c r="Q67" s="58"/>
      <c r="R67" s="58"/>
    </row>
    <row r="68" spans="1:18" ht="19.95" customHeight="1" thickBot="1" x14ac:dyDescent="0.35">
      <c r="A68" s="54">
        <v>17</v>
      </c>
      <c r="B68" s="54">
        <v>8</v>
      </c>
      <c r="C68" s="54"/>
      <c r="D68" s="54"/>
      <c r="E68" s="48" t="s">
        <v>245</v>
      </c>
      <c r="F68" s="49" t="s">
        <v>203</v>
      </c>
      <c r="G68" s="45" t="str">
        <f t="shared" si="16"/>
        <v>17 - 8 - Epinards, endives, variétés de choux (sauf choucroute) et choux raves (tonne)</v>
      </c>
      <c r="H68" s="49">
        <v>0.75</v>
      </c>
      <c r="I68" s="49">
        <v>0.01</v>
      </c>
      <c r="K68" s="59"/>
      <c r="L68" s="59"/>
      <c r="M68" s="59"/>
      <c r="N68" s="59"/>
      <c r="O68" s="59"/>
      <c r="Q68" s="58"/>
      <c r="R68" s="58"/>
    </row>
    <row r="69" spans="1:18" ht="19.95" customHeight="1" thickBot="1" x14ac:dyDescent="0.35">
      <c r="A69" s="54">
        <v>17</v>
      </c>
      <c r="B69" s="54">
        <v>9</v>
      </c>
      <c r="C69" s="54"/>
      <c r="D69" s="54"/>
      <c r="E69" s="48" t="s">
        <v>246</v>
      </c>
      <c r="F69" s="49" t="s">
        <v>203</v>
      </c>
      <c r="G69" s="45" t="str">
        <f t="shared" si="16"/>
        <v>17 - 9 - Poireaux, haricots verts, haricots coupés et céléris (tonne)</v>
      </c>
      <c r="H69" s="49">
        <v>0.57999999999999996</v>
      </c>
      <c r="I69" s="49">
        <v>0.01</v>
      </c>
      <c r="K69" s="59"/>
      <c r="L69" s="59"/>
      <c r="M69" s="59"/>
      <c r="N69" s="59"/>
      <c r="O69" s="59"/>
      <c r="Q69" s="58"/>
      <c r="R69" s="58"/>
    </row>
    <row r="70" spans="1:18" ht="19.95" customHeight="1" thickBot="1" x14ac:dyDescent="0.35">
      <c r="A70" s="54">
        <v>17</v>
      </c>
      <c r="B70" s="54">
        <v>10</v>
      </c>
      <c r="C70" s="54"/>
      <c r="D70" s="54"/>
      <c r="E70" s="48" t="s">
        <v>247</v>
      </c>
      <c r="F70" s="49" t="s">
        <v>203</v>
      </c>
      <c r="G70" s="45" t="str">
        <f t="shared" si="16"/>
        <v>17 - 10 - Petits pois et pois chiches (tonne)</v>
      </c>
      <c r="H70" s="49">
        <v>1.02</v>
      </c>
      <c r="I70" s="49">
        <v>0.01</v>
      </c>
      <c r="K70" s="59"/>
      <c r="L70" s="59"/>
      <c r="M70" s="59"/>
      <c r="N70" s="59"/>
      <c r="O70" s="59"/>
      <c r="Q70" s="58"/>
      <c r="R70" s="58"/>
    </row>
    <row r="71" spans="1:18" ht="19.95" customHeight="1" thickBot="1" x14ac:dyDescent="0.35">
      <c r="A71" s="54">
        <v>17</v>
      </c>
      <c r="B71" s="54">
        <v>11</v>
      </c>
      <c r="C71" s="54"/>
      <c r="D71" s="54"/>
      <c r="E71" s="48" t="s">
        <v>248</v>
      </c>
      <c r="F71" s="49" t="s">
        <v>203</v>
      </c>
      <c r="G71" s="45" t="str">
        <f t="shared" si="16"/>
        <v>17 - 11 - Autres légumes (tonne)</v>
      </c>
      <c r="H71" s="50">
        <v>0.5</v>
      </c>
      <c r="I71" s="49">
        <v>0.01</v>
      </c>
      <c r="K71" s="59"/>
      <c r="L71" s="59"/>
      <c r="M71" s="59"/>
      <c r="N71" s="59"/>
      <c r="O71" s="59"/>
      <c r="Q71" s="58"/>
      <c r="R71" s="58"/>
    </row>
    <row r="72" spans="1:18" ht="19.95" customHeight="1" thickBot="1" x14ac:dyDescent="0.35">
      <c r="A72" s="54">
        <v>17</v>
      </c>
      <c r="B72" s="54">
        <v>12</v>
      </c>
      <c r="C72" s="54"/>
      <c r="D72" s="54" t="s">
        <v>342</v>
      </c>
      <c r="E72" s="48" t="s">
        <v>249</v>
      </c>
      <c r="F72" s="49" t="s">
        <v>203</v>
      </c>
      <c r="G72" s="45" t="str">
        <f t="shared" si="16"/>
        <v>17 - 12 - Carottes (tonne)</v>
      </c>
      <c r="H72" s="49">
        <v>0.13</v>
      </c>
      <c r="I72" s="49">
        <v>0.01</v>
      </c>
      <c r="K72" s="59"/>
      <c r="L72" s="59"/>
      <c r="M72" s="59"/>
      <c r="N72" s="59"/>
      <c r="O72" s="59"/>
      <c r="Q72" s="58"/>
      <c r="R72" s="58"/>
    </row>
    <row r="73" spans="1:18" ht="19.95" customHeight="1" thickBot="1" x14ac:dyDescent="0.35">
      <c r="A73" s="54">
        <v>17</v>
      </c>
      <c r="B73" s="54">
        <v>13</v>
      </c>
      <c r="C73" s="54"/>
      <c r="D73" s="54"/>
      <c r="E73" s="48" t="s">
        <v>250</v>
      </c>
      <c r="F73" s="49" t="s">
        <v>203</v>
      </c>
      <c r="G73" s="45" t="str">
        <f t="shared" si="16"/>
        <v>17 - 13 - Echalottes (tonne)</v>
      </c>
      <c r="H73" s="49">
        <v>0.23</v>
      </c>
      <c r="I73" s="49">
        <v>0.01</v>
      </c>
      <c r="K73" s="59"/>
      <c r="L73" s="59"/>
      <c r="M73" s="59"/>
      <c r="N73" s="59"/>
      <c r="O73" s="59"/>
      <c r="Q73" s="58"/>
      <c r="R73" s="58"/>
    </row>
    <row r="74" spans="1:18" ht="19.95" customHeight="1" thickBot="1" x14ac:dyDescent="0.35">
      <c r="A74" s="54">
        <v>17</v>
      </c>
      <c r="B74" s="54">
        <v>14</v>
      </c>
      <c r="C74" s="54"/>
      <c r="D74" s="54" t="s">
        <v>343</v>
      </c>
      <c r="E74" s="48" t="s">
        <v>228</v>
      </c>
      <c r="F74" s="49" t="s">
        <v>203</v>
      </c>
      <c r="G74" s="45" t="str">
        <f t="shared" si="16"/>
        <v>17 - 14 - Matière première (tonne)</v>
      </c>
      <c r="H74" s="49">
        <v>3.4000000000000002E-2</v>
      </c>
      <c r="I74" s="49">
        <v>0.01</v>
      </c>
      <c r="K74" s="59"/>
      <c r="L74" s="59"/>
      <c r="M74" s="59"/>
      <c r="N74" s="59"/>
      <c r="O74" s="59"/>
      <c r="Q74" s="58"/>
      <c r="R74" s="58"/>
    </row>
    <row r="75" spans="1:18" ht="19.95" customHeight="1" thickBot="1" x14ac:dyDescent="0.35">
      <c r="A75" s="54">
        <v>18</v>
      </c>
      <c r="B75" s="54">
        <v>1</v>
      </c>
      <c r="C75" s="54" t="s">
        <v>344</v>
      </c>
      <c r="D75" s="54" t="s">
        <v>345</v>
      </c>
      <c r="E75" s="48" t="s">
        <v>251</v>
      </c>
      <c r="F75" s="49" t="s">
        <v>203</v>
      </c>
      <c r="G75" s="45" t="str">
        <f t="shared" si="16"/>
        <v>18 - 1 - Mélasse (tonne)</v>
      </c>
      <c r="H75" s="50">
        <v>9.3000000000000007</v>
      </c>
      <c r="I75" s="49">
        <v>0.01</v>
      </c>
      <c r="K75" s="59"/>
      <c r="L75" s="59"/>
      <c r="M75" s="59"/>
      <c r="N75" s="59"/>
      <c r="O75" s="59"/>
      <c r="Q75" s="58"/>
      <c r="R75" s="58"/>
    </row>
    <row r="76" spans="1:18" ht="19.95" customHeight="1" thickBot="1" x14ac:dyDescent="0.35">
      <c r="A76" s="54">
        <v>18</v>
      </c>
      <c r="B76" s="54">
        <v>2</v>
      </c>
      <c r="C76" s="54"/>
      <c r="D76" s="54" t="s">
        <v>346</v>
      </c>
      <c r="E76" s="48" t="s">
        <v>221</v>
      </c>
      <c r="F76" s="50" t="s">
        <v>219</v>
      </c>
      <c r="G76" s="45" t="str">
        <f t="shared" si="16"/>
        <v>18 - 2 - Eau utilisée (m³)</v>
      </c>
      <c r="H76" s="49">
        <f>0.06/100</f>
        <v>5.9999999999999995E-4</v>
      </c>
      <c r="I76" s="49">
        <v>0.01</v>
      </c>
      <c r="K76" s="59"/>
      <c r="L76" s="59"/>
      <c r="M76" s="59"/>
      <c r="N76" s="59"/>
      <c r="O76" s="59"/>
      <c r="Q76" s="58"/>
    </row>
    <row r="77" spans="1:18" ht="19.95" customHeight="1" thickBot="1" x14ac:dyDescent="0.35">
      <c r="A77" s="54">
        <v>19</v>
      </c>
      <c r="B77" s="54">
        <v>1</v>
      </c>
      <c r="C77" s="54" t="s">
        <v>347</v>
      </c>
      <c r="D77" s="54" t="s">
        <v>348</v>
      </c>
      <c r="E77" s="48" t="s">
        <v>216</v>
      </c>
      <c r="F77" s="49" t="s">
        <v>217</v>
      </c>
      <c r="G77" s="45" t="str">
        <f t="shared" si="16"/>
        <v>19 - 1 - Journée de travail (100 j.)</v>
      </c>
      <c r="H77" s="49">
        <f>0.23/100</f>
        <v>2.3E-3</v>
      </c>
      <c r="I77" s="49">
        <v>0.01</v>
      </c>
      <c r="K77" s="59"/>
      <c r="L77" s="59"/>
      <c r="M77" s="59"/>
      <c r="N77" s="59"/>
      <c r="O77" s="59"/>
      <c r="Q77" s="58"/>
      <c r="R77" s="58"/>
    </row>
    <row r="78" spans="1:18" ht="19.95" customHeight="1" thickBot="1" x14ac:dyDescent="0.35">
      <c r="A78" s="54">
        <v>19</v>
      </c>
      <c r="B78" s="54">
        <v>2</v>
      </c>
      <c r="C78" s="54"/>
      <c r="D78" s="54" t="s">
        <v>349</v>
      </c>
      <c r="E78" s="48" t="s">
        <v>216</v>
      </c>
      <c r="F78" s="49" t="s">
        <v>217</v>
      </c>
      <c r="G78" s="45" t="str">
        <f t="shared" si="16"/>
        <v>19 - 2 - Journée de travail (100 j.)</v>
      </c>
      <c r="H78" s="49">
        <f>0.23/100</f>
        <v>2.3E-3</v>
      </c>
      <c r="I78" s="49">
        <v>0.01</v>
      </c>
      <c r="K78" s="59"/>
      <c r="L78" s="59"/>
      <c r="M78" s="59"/>
      <c r="N78" s="59"/>
      <c r="O78" s="59"/>
      <c r="Q78" s="58"/>
      <c r="R78" s="58"/>
    </row>
    <row r="79" spans="1:18" ht="19.95" customHeight="1" thickBot="1" x14ac:dyDescent="0.35">
      <c r="A79" s="54">
        <v>19</v>
      </c>
      <c r="B79" s="54">
        <v>3</v>
      </c>
      <c r="C79" s="54"/>
      <c r="D79" s="54" t="s">
        <v>350</v>
      </c>
      <c r="E79" s="48" t="s">
        <v>216</v>
      </c>
      <c r="F79" s="49" t="s">
        <v>217</v>
      </c>
      <c r="G79" s="45" t="str">
        <f t="shared" si="16"/>
        <v>19 - 3 - Journée de travail (100 j.)</v>
      </c>
      <c r="H79" s="49">
        <f>0.23/100</f>
        <v>2.3E-3</v>
      </c>
      <c r="I79" s="49">
        <v>3.2000000000000001E-2</v>
      </c>
      <c r="K79" s="59"/>
      <c r="L79" s="59"/>
      <c r="M79" s="59"/>
      <c r="N79" s="59"/>
      <c r="O79" s="59"/>
      <c r="Q79" s="58"/>
    </row>
    <row r="80" spans="1:18" ht="19.95" customHeight="1" thickBot="1" x14ac:dyDescent="0.35">
      <c r="A80" s="54">
        <v>19</v>
      </c>
      <c r="B80" s="54">
        <v>4</v>
      </c>
      <c r="C80" s="54"/>
      <c r="D80" s="54"/>
      <c r="E80" s="44" t="s">
        <v>252</v>
      </c>
      <c r="F80" s="45" t="s">
        <v>203</v>
      </c>
      <c r="G80" s="45" t="str">
        <f t="shared" si="16"/>
        <v>19 - 4 - En outre par tonne de fer bivalent déversé (tonne)</v>
      </c>
      <c r="H80" s="52">
        <v>3.3</v>
      </c>
      <c r="I80" s="45">
        <v>3.2000000000000001E-2</v>
      </c>
      <c r="K80" s="59"/>
      <c r="L80" s="59"/>
      <c r="M80" s="59"/>
      <c r="N80" s="59"/>
      <c r="O80" s="59"/>
      <c r="Q80" s="58"/>
      <c r="R80" s="58"/>
    </row>
    <row r="81" spans="1:18" ht="19.95" customHeight="1" thickBot="1" x14ac:dyDescent="0.35">
      <c r="A81" s="54">
        <v>19</v>
      </c>
      <c r="B81" s="54">
        <v>5</v>
      </c>
      <c r="C81" s="54"/>
      <c r="D81" s="54" t="s">
        <v>351</v>
      </c>
      <c r="E81" s="48" t="s">
        <v>221</v>
      </c>
      <c r="F81" s="50" t="s">
        <v>219</v>
      </c>
      <c r="G81" s="45" t="str">
        <f t="shared" si="16"/>
        <v>19 - 5 - Eau utilisée (m³)</v>
      </c>
      <c r="H81" s="49">
        <v>0.04</v>
      </c>
      <c r="I81" s="49">
        <v>3.2000000000000001E-2</v>
      </c>
      <c r="K81" s="59"/>
      <c r="L81" s="59"/>
      <c r="M81" s="59"/>
      <c r="N81" s="59"/>
      <c r="O81" s="59"/>
      <c r="Q81" s="58"/>
      <c r="R81" s="58"/>
    </row>
    <row r="82" spans="1:18" ht="19.95" customHeight="1" thickBot="1" x14ac:dyDescent="0.35">
      <c r="A82" s="54">
        <v>19</v>
      </c>
      <c r="B82" s="54">
        <v>6</v>
      </c>
      <c r="C82" s="54"/>
      <c r="D82" s="54" t="s">
        <v>352</v>
      </c>
      <c r="E82" s="48" t="s">
        <v>216</v>
      </c>
      <c r="F82" s="49" t="s">
        <v>217</v>
      </c>
      <c r="G82" s="45" t="str">
        <f t="shared" si="16"/>
        <v>19 - 6 - Journée de travail (100 j.)</v>
      </c>
      <c r="H82" s="49">
        <f>0.23/100</f>
        <v>2.3E-3</v>
      </c>
      <c r="I82" s="49">
        <v>3.2000000000000001E-2</v>
      </c>
      <c r="K82" s="59"/>
      <c r="L82" s="59"/>
      <c r="M82" s="59"/>
      <c r="N82" s="59"/>
      <c r="O82" s="59"/>
      <c r="Q82" s="58"/>
      <c r="R82" s="58"/>
    </row>
    <row r="83" spans="1:18" ht="19.95" customHeight="1" thickBot="1" x14ac:dyDescent="0.35">
      <c r="A83" s="54">
        <v>20</v>
      </c>
      <c r="B83" s="54"/>
      <c r="C83" s="54" t="s">
        <v>353</v>
      </c>
      <c r="D83" s="54"/>
      <c r="E83" s="48" t="s">
        <v>228</v>
      </c>
      <c r="F83" s="49" t="s">
        <v>203</v>
      </c>
      <c r="G83" s="45" t="str">
        <f t="shared" si="16"/>
        <v>20 -  - Matière première (tonne)</v>
      </c>
      <c r="H83" s="50">
        <v>1.1000000000000001</v>
      </c>
      <c r="I83" s="49">
        <v>0.01</v>
      </c>
      <c r="K83" s="59"/>
      <c r="L83" s="59"/>
      <c r="M83" s="59"/>
      <c r="N83" s="59"/>
      <c r="O83" s="59"/>
      <c r="Q83" s="58"/>
      <c r="R83" s="58"/>
    </row>
    <row r="84" spans="1:18" ht="19.95" customHeight="1" thickBot="1" x14ac:dyDescent="0.35">
      <c r="A84" s="54">
        <v>21</v>
      </c>
      <c r="B84" s="54"/>
      <c r="C84" s="54" t="s">
        <v>354</v>
      </c>
      <c r="D84" s="54"/>
      <c r="E84" s="48" t="s">
        <v>216</v>
      </c>
      <c r="F84" s="49" t="s">
        <v>217</v>
      </c>
      <c r="G84" s="45" t="str">
        <f t="shared" si="16"/>
        <v>21 -  - Journée de travail (100 j.)</v>
      </c>
      <c r="H84" s="49">
        <f>23.6/100</f>
        <v>0.23600000000000002</v>
      </c>
      <c r="I84" s="49">
        <v>1.0999999999999999E-2</v>
      </c>
      <c r="K84" s="59"/>
      <c r="L84" s="59"/>
      <c r="M84" s="59"/>
      <c r="N84" s="59"/>
      <c r="O84" s="59"/>
      <c r="Q84" s="58"/>
      <c r="R84" s="58"/>
    </row>
    <row r="85" spans="1:18" ht="19.95" customHeight="1" thickBot="1" x14ac:dyDescent="0.35">
      <c r="A85" s="54">
        <v>22</v>
      </c>
      <c r="B85" s="54">
        <v>2</v>
      </c>
      <c r="C85" s="54" t="s">
        <v>355</v>
      </c>
      <c r="D85" s="54"/>
      <c r="E85" s="48" t="s">
        <v>253</v>
      </c>
      <c r="F85" s="49" t="s">
        <v>203</v>
      </c>
      <c r="G85" s="45" t="str">
        <f t="shared" si="16"/>
        <v>22 - 2 - Colle d'os (tonne)</v>
      </c>
      <c r="H85" s="50">
        <v>3.7</v>
      </c>
      <c r="I85" s="49">
        <v>0.01</v>
      </c>
      <c r="K85" s="59"/>
      <c r="L85" s="59"/>
      <c r="M85" s="59"/>
      <c r="N85" s="59"/>
      <c r="O85" s="59"/>
      <c r="Q85" s="58"/>
      <c r="R85" s="58"/>
    </row>
    <row r="86" spans="1:18" ht="19.95" customHeight="1" thickBot="1" x14ac:dyDescent="0.35">
      <c r="A86" s="54">
        <v>23</v>
      </c>
      <c r="B86" s="54"/>
      <c r="C86" s="54" t="s">
        <v>356</v>
      </c>
      <c r="D86" s="54"/>
      <c r="E86" s="48" t="s">
        <v>216</v>
      </c>
      <c r="F86" s="49" t="s">
        <v>217</v>
      </c>
      <c r="G86" s="45" t="str">
        <f t="shared" si="16"/>
        <v>23 -  - Journée de travail (100 j.)</v>
      </c>
      <c r="H86" s="49">
        <f>11.8/100</f>
        <v>0.11800000000000001</v>
      </c>
      <c r="I86" s="49">
        <v>1.9E-2</v>
      </c>
      <c r="K86" s="59"/>
      <c r="L86" s="59"/>
      <c r="M86" s="59"/>
      <c r="N86" s="59"/>
      <c r="O86" s="59"/>
      <c r="Q86" s="58"/>
      <c r="R86" s="58"/>
    </row>
    <row r="87" spans="1:18" ht="19.95" customHeight="1" thickBot="1" x14ac:dyDescent="0.35">
      <c r="A87" s="54">
        <v>24</v>
      </c>
      <c r="B87" s="54">
        <v>1</v>
      </c>
      <c r="C87" s="54" t="s">
        <v>164</v>
      </c>
      <c r="D87" s="54" t="s">
        <v>357</v>
      </c>
      <c r="E87" s="48" t="s">
        <v>254</v>
      </c>
      <c r="F87" s="49" t="s">
        <v>203</v>
      </c>
      <c r="G87" s="45" t="str">
        <f t="shared" si="16"/>
        <v>24 - 1 - Poids abattu (tonne)</v>
      </c>
      <c r="H87" s="49">
        <v>0.28999999999999998</v>
      </c>
      <c r="I87" s="49">
        <v>0.01</v>
      </c>
      <c r="K87" s="59"/>
      <c r="L87" s="59"/>
      <c r="M87" s="59"/>
      <c r="N87" s="59"/>
      <c r="O87" s="59"/>
      <c r="Q87" s="58"/>
      <c r="R87" s="58"/>
    </row>
    <row r="88" spans="1:18" ht="19.95" customHeight="1" thickBot="1" x14ac:dyDescent="0.35">
      <c r="A88" s="54">
        <v>24</v>
      </c>
      <c r="B88" s="54">
        <v>2</v>
      </c>
      <c r="C88" s="54"/>
      <c r="D88" s="54" t="s">
        <v>358</v>
      </c>
      <c r="E88" s="48" t="s">
        <v>254</v>
      </c>
      <c r="F88" s="49" t="s">
        <v>203</v>
      </c>
      <c r="G88" s="45" t="str">
        <f t="shared" si="16"/>
        <v>24 - 2 - Poids abattu (tonne)</v>
      </c>
      <c r="H88" s="49">
        <v>0.57999999999999996</v>
      </c>
      <c r="I88" s="49">
        <v>0.01</v>
      </c>
      <c r="K88" s="59"/>
      <c r="L88" s="59"/>
      <c r="M88" s="59"/>
      <c r="N88" s="59"/>
      <c r="O88" s="59"/>
      <c r="Q88" s="58"/>
      <c r="R88" s="58"/>
    </row>
    <row r="89" spans="1:18" ht="19.95" customHeight="1" thickBot="1" x14ac:dyDescent="0.35">
      <c r="A89" s="54">
        <v>24</v>
      </c>
      <c r="B89" s="54">
        <v>3</v>
      </c>
      <c r="C89" s="54"/>
      <c r="D89" s="54" t="s">
        <v>359</v>
      </c>
      <c r="E89" s="48" t="s">
        <v>254</v>
      </c>
      <c r="F89" s="49" t="s">
        <v>203</v>
      </c>
      <c r="G89" s="45" t="str">
        <f t="shared" si="16"/>
        <v>24 - 3 - Poids abattu (tonne)</v>
      </c>
      <c r="H89" s="49">
        <v>1.02</v>
      </c>
      <c r="I89" s="49">
        <v>0.01</v>
      </c>
      <c r="K89" s="59"/>
      <c r="L89" s="59"/>
      <c r="M89" s="59"/>
      <c r="N89" s="59"/>
      <c r="O89" s="59"/>
      <c r="Q89" s="58"/>
      <c r="R89" s="58"/>
    </row>
    <row r="90" spans="1:18" ht="19.95" customHeight="1" thickBot="1" x14ac:dyDescent="0.35">
      <c r="A90" s="54">
        <v>25</v>
      </c>
      <c r="B90" s="54">
        <v>1</v>
      </c>
      <c r="C90" s="54" t="s">
        <v>360</v>
      </c>
      <c r="D90" s="54"/>
      <c r="E90" s="48" t="s">
        <v>255</v>
      </c>
      <c r="F90" s="49" t="s">
        <v>203</v>
      </c>
      <c r="G90" s="45" t="str">
        <f t="shared" si="16"/>
        <v>25 - 1 - Produit fabriqué (cuisson de saucissons et jambons) (tonne)</v>
      </c>
      <c r="H90" s="49">
        <v>0.73</v>
      </c>
      <c r="I90" s="49">
        <v>0.01</v>
      </c>
      <c r="K90" s="59"/>
      <c r="L90" s="59"/>
      <c r="M90" s="59"/>
      <c r="N90" s="59"/>
      <c r="O90" s="59"/>
      <c r="Q90" s="58"/>
      <c r="R90" s="58"/>
    </row>
    <row r="91" spans="1:18" ht="19.95" customHeight="1" thickBot="1" x14ac:dyDescent="0.35">
      <c r="A91" s="54">
        <v>25</v>
      </c>
      <c r="B91" s="54">
        <v>2</v>
      </c>
      <c r="C91" s="54"/>
      <c r="D91" s="54"/>
      <c r="E91" s="44" t="s">
        <v>256</v>
      </c>
      <c r="F91" s="45" t="s">
        <v>203</v>
      </c>
      <c r="G91" s="45" t="str">
        <f t="shared" si="16"/>
        <v>25 - 2 - Produit fabriqué (autres) (tonne)</v>
      </c>
      <c r="H91" s="45">
        <v>0.45</v>
      </c>
      <c r="I91" s="45">
        <v>0.01</v>
      </c>
      <c r="K91" s="59"/>
      <c r="L91" s="59"/>
      <c r="M91" s="59"/>
      <c r="N91" s="59"/>
      <c r="O91" s="59"/>
      <c r="Q91" s="58"/>
      <c r="R91" s="58"/>
    </row>
    <row r="92" spans="1:18" ht="19.95" customHeight="1" thickBot="1" x14ac:dyDescent="0.35">
      <c r="A92" s="54">
        <v>26</v>
      </c>
      <c r="B92" s="54">
        <v>1</v>
      </c>
      <c r="C92" s="54" t="s">
        <v>361</v>
      </c>
      <c r="D92" s="54" t="s">
        <v>362</v>
      </c>
      <c r="E92" s="48" t="s">
        <v>257</v>
      </c>
      <c r="F92" s="49" t="s">
        <v>203</v>
      </c>
      <c r="G92" s="45" t="str">
        <f t="shared" si="16"/>
        <v>26 - 1 - Pommes de terre (tonne)</v>
      </c>
      <c r="H92" s="49">
        <v>1.44</v>
      </c>
      <c r="I92" s="49">
        <v>0.01</v>
      </c>
      <c r="K92" s="59"/>
      <c r="L92" s="59"/>
      <c r="M92" s="59"/>
      <c r="N92" s="59"/>
      <c r="O92" s="59"/>
      <c r="Q92" s="58"/>
      <c r="R92" s="58"/>
    </row>
    <row r="93" spans="1:18" ht="19.95" customHeight="1" thickBot="1" x14ac:dyDescent="0.35">
      <c r="A93" s="54">
        <v>26</v>
      </c>
      <c r="B93" s="54">
        <v>2</v>
      </c>
      <c r="C93" s="54"/>
      <c r="D93" s="54" t="s">
        <v>363</v>
      </c>
      <c r="E93" s="48" t="s">
        <v>257</v>
      </c>
      <c r="F93" s="49" t="s">
        <v>203</v>
      </c>
      <c r="G93" s="45" t="str">
        <f t="shared" si="16"/>
        <v>26 - 2 - Pommes de terre (tonne)</v>
      </c>
      <c r="H93" s="49">
        <v>0.87</v>
      </c>
      <c r="I93" s="49">
        <v>0.01</v>
      </c>
      <c r="K93" s="59"/>
      <c r="L93" s="59"/>
      <c r="M93" s="59"/>
      <c r="N93" s="59"/>
      <c r="O93" s="59"/>
      <c r="Q93" s="58"/>
      <c r="R93" s="63"/>
    </row>
    <row r="94" spans="1:18" ht="19.95" customHeight="1" thickBot="1" x14ac:dyDescent="0.35">
      <c r="A94" s="54">
        <v>27</v>
      </c>
      <c r="B94" s="54">
        <v>1</v>
      </c>
      <c r="C94" s="54" t="s">
        <v>364</v>
      </c>
      <c r="D94" s="54" t="s">
        <v>365</v>
      </c>
      <c r="E94" s="48" t="s">
        <v>231</v>
      </c>
      <c r="F94" s="49" t="s">
        <v>203</v>
      </c>
      <c r="G94" s="45" t="str">
        <f t="shared" si="16"/>
        <v>27 - 1 - Produit fabriqué (tonne)</v>
      </c>
      <c r="H94" s="49">
        <v>0.06</v>
      </c>
      <c r="I94" s="49">
        <v>0.01</v>
      </c>
      <c r="K94" s="59"/>
      <c r="L94" s="59"/>
      <c r="M94" s="59"/>
      <c r="N94" s="59"/>
      <c r="O94" s="59"/>
      <c r="Q94" s="58"/>
      <c r="R94" s="58"/>
    </row>
    <row r="95" spans="1:18" ht="19.95" customHeight="1" thickBot="1" x14ac:dyDescent="0.35">
      <c r="A95" s="54">
        <v>27</v>
      </c>
      <c r="B95" s="54">
        <v>2</v>
      </c>
      <c r="C95" s="54"/>
      <c r="D95" s="54" t="s">
        <v>366</v>
      </c>
      <c r="E95" s="48" t="s">
        <v>258</v>
      </c>
      <c r="F95" s="49" t="s">
        <v>203</v>
      </c>
      <c r="G95" s="45" t="str">
        <f t="shared" si="16"/>
        <v>27 - 2 - Huile ou graisse brute (tonne)</v>
      </c>
      <c r="H95" s="50">
        <v>0.7</v>
      </c>
      <c r="I95" s="49">
        <v>0.01</v>
      </c>
      <c r="K95" s="59"/>
      <c r="L95" s="59"/>
      <c r="M95" s="59"/>
      <c r="N95" s="59"/>
      <c r="O95" s="59"/>
      <c r="Q95" s="58"/>
      <c r="R95" s="58"/>
    </row>
    <row r="96" spans="1:18" ht="19.95" customHeight="1" thickBot="1" x14ac:dyDescent="0.35">
      <c r="A96" s="54">
        <v>28</v>
      </c>
      <c r="B96" s="54"/>
      <c r="C96" s="54" t="s">
        <v>168</v>
      </c>
      <c r="D96" s="54"/>
      <c r="E96" s="48" t="s">
        <v>216</v>
      </c>
      <c r="F96" s="49" t="s">
        <v>217</v>
      </c>
      <c r="G96" s="45" t="str">
        <f t="shared" si="16"/>
        <v>28 -  - Journée de travail (100 j.)</v>
      </c>
      <c r="H96" s="49">
        <f>11.8/100</f>
        <v>0.11800000000000001</v>
      </c>
      <c r="I96" s="49">
        <v>1.9E-2</v>
      </c>
      <c r="K96" s="59"/>
      <c r="L96" s="59"/>
      <c r="M96" s="59"/>
      <c r="N96" s="59"/>
      <c r="O96" s="59"/>
      <c r="Q96" s="58"/>
      <c r="R96" s="58"/>
    </row>
    <row r="97" spans="1:18" ht="19.95" customHeight="1" thickBot="1" x14ac:dyDescent="0.35">
      <c r="A97" s="54">
        <v>29</v>
      </c>
      <c r="B97" s="54"/>
      <c r="C97" s="54" t="s">
        <v>367</v>
      </c>
      <c r="D97" s="54"/>
      <c r="E97" s="48" t="s">
        <v>221</v>
      </c>
      <c r="F97" s="50" t="s">
        <v>219</v>
      </c>
      <c r="G97" s="45" t="str">
        <f t="shared" si="16"/>
        <v>29 -  - Eau utilisée (m³)</v>
      </c>
      <c r="H97" s="49">
        <v>0.57999999999999996</v>
      </c>
      <c r="I97" s="49">
        <v>2.1000000000000001E-2</v>
      </c>
      <c r="K97" s="59"/>
      <c r="L97" s="59"/>
      <c r="M97" s="59"/>
      <c r="N97" s="59"/>
      <c r="O97" s="59"/>
      <c r="Q97" s="58"/>
      <c r="R97" s="58"/>
    </row>
    <row r="98" spans="1:18" ht="19.95" customHeight="1" thickBot="1" x14ac:dyDescent="0.35">
      <c r="A98" s="54">
        <v>30</v>
      </c>
      <c r="B98" s="54"/>
      <c r="C98" s="54" t="s">
        <v>368</v>
      </c>
      <c r="D98" s="54"/>
      <c r="E98" s="48" t="s">
        <v>216</v>
      </c>
      <c r="F98" s="49" t="s">
        <v>217</v>
      </c>
      <c r="G98" s="45" t="str">
        <f t="shared" ref="G98:G130" si="17">_xlfn.CONCAT(A98," - ",B98," - ",E98," (",F98,")")</f>
        <v>30 -  - Journée de travail (100 j.)</v>
      </c>
      <c r="H98" s="49">
        <f>11.8/100</f>
        <v>0.11800000000000001</v>
      </c>
      <c r="I98" s="49">
        <v>1.9E-2</v>
      </c>
      <c r="K98" s="59"/>
      <c r="L98" s="59"/>
      <c r="M98" s="59"/>
      <c r="N98" s="59"/>
      <c r="O98" s="59"/>
      <c r="Q98" s="58"/>
      <c r="R98" s="58"/>
    </row>
    <row r="99" spans="1:18" ht="19.95" customHeight="1" thickBot="1" x14ac:dyDescent="0.35">
      <c r="A99" s="54">
        <v>31</v>
      </c>
      <c r="B99" s="54"/>
      <c r="C99" s="54" t="s">
        <v>369</v>
      </c>
      <c r="D99" s="54"/>
      <c r="E99" s="48" t="s">
        <v>216</v>
      </c>
      <c r="F99" s="49" t="s">
        <v>217</v>
      </c>
      <c r="G99" s="45" t="str">
        <f t="shared" si="17"/>
        <v>31 -  - Journée de travail (100 j.)</v>
      </c>
      <c r="H99" s="49">
        <f>23.6/100</f>
        <v>0.23600000000000002</v>
      </c>
      <c r="I99" s="49">
        <v>1.0999999999999999E-2</v>
      </c>
      <c r="K99" s="59"/>
      <c r="L99" s="59"/>
      <c r="M99" s="59"/>
      <c r="N99" s="59"/>
      <c r="O99" s="59"/>
      <c r="Q99" s="58"/>
      <c r="R99" s="58"/>
    </row>
    <row r="100" spans="1:18" ht="19.95" customHeight="1" thickBot="1" x14ac:dyDescent="0.35">
      <c r="A100" s="54">
        <v>32</v>
      </c>
      <c r="B100" s="54">
        <v>1</v>
      </c>
      <c r="C100" s="54" t="s">
        <v>370</v>
      </c>
      <c r="D100" s="54"/>
      <c r="E100" s="48" t="s">
        <v>216</v>
      </c>
      <c r="F100" s="49" t="s">
        <v>217</v>
      </c>
      <c r="G100" s="45" t="str">
        <f t="shared" si="17"/>
        <v>32 - 1 - Journée de travail (100 j.)</v>
      </c>
      <c r="H100" s="49">
        <f>11.18/100</f>
        <v>0.1118</v>
      </c>
      <c r="I100" s="49">
        <v>1.7000000000000001E-2</v>
      </c>
      <c r="K100" s="59"/>
      <c r="L100" s="59"/>
      <c r="M100" s="59"/>
      <c r="N100" s="59"/>
      <c r="O100" s="59"/>
      <c r="Q100" s="58"/>
      <c r="R100" s="58"/>
    </row>
    <row r="101" spans="1:18" ht="19.95" customHeight="1" thickBot="1" x14ac:dyDescent="0.35">
      <c r="A101" s="54">
        <v>35</v>
      </c>
      <c r="B101" s="54"/>
      <c r="C101" s="54" t="s">
        <v>371</v>
      </c>
      <c r="D101" s="54"/>
      <c r="E101" s="48" t="s">
        <v>228</v>
      </c>
      <c r="F101" s="49" t="s">
        <v>203</v>
      </c>
      <c r="G101" s="45" t="str">
        <f t="shared" si="17"/>
        <v>35 -  - Matière première (tonne)</v>
      </c>
      <c r="H101" s="50">
        <v>3</v>
      </c>
      <c r="I101" s="49">
        <v>0.01</v>
      </c>
      <c r="K101" s="59"/>
      <c r="L101" s="59"/>
      <c r="M101" s="59"/>
      <c r="N101" s="59"/>
      <c r="O101" s="59"/>
      <c r="Q101" s="58"/>
      <c r="R101" s="58"/>
    </row>
    <row r="102" spans="1:18" ht="19.95" customHeight="1" thickBot="1" x14ac:dyDescent="0.35">
      <c r="A102" s="54">
        <v>37</v>
      </c>
      <c r="B102" s="54">
        <v>1</v>
      </c>
      <c r="C102" s="54" t="s">
        <v>372</v>
      </c>
      <c r="D102" s="54" t="s">
        <v>373</v>
      </c>
      <c r="E102" s="48" t="s">
        <v>216</v>
      </c>
      <c r="F102" s="49" t="s">
        <v>217</v>
      </c>
      <c r="G102" s="45" t="str">
        <f t="shared" si="17"/>
        <v>37 - 1 - Journée de travail (100 j.)</v>
      </c>
      <c r="H102" s="50">
        <f>4.5/100</f>
        <v>4.4999999999999998E-2</v>
      </c>
      <c r="I102" s="49">
        <v>1.0999999999999999E-2</v>
      </c>
      <c r="K102" s="59"/>
      <c r="L102" s="59"/>
      <c r="M102" s="59"/>
      <c r="N102" s="59"/>
      <c r="O102" s="59"/>
      <c r="Q102" s="58"/>
      <c r="R102" s="58"/>
    </row>
    <row r="103" spans="1:18" ht="19.95" customHeight="1" thickBot="1" x14ac:dyDescent="0.35">
      <c r="A103" s="54">
        <v>37</v>
      </c>
      <c r="B103" s="54">
        <v>2</v>
      </c>
      <c r="C103" s="54"/>
      <c r="D103" s="54" t="s">
        <v>374</v>
      </c>
      <c r="E103" s="48" t="s">
        <v>216</v>
      </c>
      <c r="F103" s="49" t="s">
        <v>217</v>
      </c>
      <c r="G103" s="45" t="str">
        <f t="shared" si="17"/>
        <v>37 - 2 - Journée de travail (100 j.)</v>
      </c>
      <c r="H103" s="49">
        <f>5.84/100</f>
        <v>5.8400000000000001E-2</v>
      </c>
      <c r="I103" s="49">
        <v>0.01</v>
      </c>
      <c r="K103" s="59"/>
      <c r="L103" s="59"/>
      <c r="M103" s="59"/>
      <c r="N103" s="59"/>
      <c r="O103" s="59"/>
      <c r="Q103" s="58"/>
      <c r="R103" s="58"/>
    </row>
    <row r="104" spans="1:18" ht="19.95" customHeight="1" thickBot="1" x14ac:dyDescent="0.35">
      <c r="A104" s="54">
        <v>37</v>
      </c>
      <c r="B104" s="54">
        <v>3</v>
      </c>
      <c r="C104" s="54"/>
      <c r="D104" s="54" t="s">
        <v>375</v>
      </c>
      <c r="E104" s="48" t="s">
        <v>259</v>
      </c>
      <c r="F104" s="49" t="s">
        <v>203</v>
      </c>
      <c r="G104" s="45" t="str">
        <f t="shared" si="17"/>
        <v>37 - 3 - Savon (tonne)</v>
      </c>
      <c r="H104" s="50">
        <v>3.1</v>
      </c>
      <c r="I104" s="49">
        <v>0.01</v>
      </c>
      <c r="K104" s="59"/>
      <c r="L104" s="59"/>
      <c r="M104" s="59"/>
      <c r="N104" s="59"/>
      <c r="O104" s="59"/>
      <c r="Q104" s="58"/>
      <c r="R104" s="58"/>
    </row>
    <row r="105" spans="1:18" ht="19.95" customHeight="1" thickBot="1" x14ac:dyDescent="0.35">
      <c r="A105" s="54" t="s">
        <v>264</v>
      </c>
      <c r="B105" s="54" t="s">
        <v>265</v>
      </c>
      <c r="C105" s="54"/>
      <c r="D105" s="54" t="s">
        <v>376</v>
      </c>
      <c r="E105" s="48" t="s">
        <v>259</v>
      </c>
      <c r="F105" s="49" t="s">
        <v>203</v>
      </c>
      <c r="G105" s="45" t="str">
        <f t="shared" si="17"/>
        <v>37 - 04 - Savon (tonne)</v>
      </c>
      <c r="H105" s="49">
        <v>0.55000000000000004</v>
      </c>
      <c r="I105" s="49">
        <v>0.01</v>
      </c>
      <c r="K105" s="59"/>
      <c r="L105" s="59"/>
      <c r="M105" s="59"/>
      <c r="N105" s="59"/>
      <c r="O105" s="59"/>
    </row>
    <row r="106" spans="1:18" ht="19.95" customHeight="1" thickBot="1" x14ac:dyDescent="0.35">
      <c r="A106" s="54" t="s">
        <v>266</v>
      </c>
      <c r="B106" s="54" t="s">
        <v>267</v>
      </c>
      <c r="C106" s="54" t="s">
        <v>377</v>
      </c>
      <c r="D106" s="54" t="s">
        <v>378</v>
      </c>
      <c r="E106" s="48" t="s">
        <v>221</v>
      </c>
      <c r="F106" s="50" t="s">
        <v>219</v>
      </c>
      <c r="G106" s="45" t="str">
        <f t="shared" si="17"/>
        <v>38 - 01 - Eau utilisée (m³)</v>
      </c>
      <c r="H106" s="49">
        <v>0.04</v>
      </c>
      <c r="I106" s="49">
        <v>2.1999999999999999E-2</v>
      </c>
      <c r="K106" s="59"/>
      <c r="L106" s="59"/>
      <c r="M106" s="59"/>
      <c r="N106" s="59"/>
      <c r="O106" s="59"/>
      <c r="Q106" s="59"/>
      <c r="R106" s="59"/>
    </row>
    <row r="107" spans="1:18" ht="19.95" customHeight="1" thickBot="1" x14ac:dyDescent="0.35">
      <c r="A107" s="54" t="s">
        <v>268</v>
      </c>
      <c r="B107" s="54"/>
      <c r="C107" s="54" t="s">
        <v>379</v>
      </c>
      <c r="D107" s="54"/>
      <c r="E107" s="48" t="s">
        <v>216</v>
      </c>
      <c r="F107" s="49" t="s">
        <v>217</v>
      </c>
      <c r="G107" s="45" t="str">
        <f t="shared" si="17"/>
        <v>40 -  - Journée de travail (100 j.)</v>
      </c>
      <c r="H107" s="49">
        <f>0.23/100</f>
        <v>2.3E-3</v>
      </c>
      <c r="I107" s="49">
        <v>0.01</v>
      </c>
      <c r="K107" s="59"/>
      <c r="L107" s="59"/>
      <c r="M107" s="59"/>
      <c r="N107" s="59"/>
      <c r="O107" s="59"/>
      <c r="Q107" s="59"/>
      <c r="R107" s="59"/>
    </row>
    <row r="108" spans="1:18" ht="19.95" customHeight="1" thickBot="1" x14ac:dyDescent="0.35">
      <c r="A108" s="54" t="s">
        <v>269</v>
      </c>
      <c r="B108" s="54"/>
      <c r="C108" s="54" t="s">
        <v>173</v>
      </c>
      <c r="D108" s="54"/>
      <c r="E108" s="48" t="s">
        <v>216</v>
      </c>
      <c r="F108" s="49" t="s">
        <v>217</v>
      </c>
      <c r="G108" s="45" t="str">
        <f t="shared" si="17"/>
        <v>42 -  - Journée de travail (100 j.)</v>
      </c>
      <c r="H108" s="50">
        <f>1.1/100</f>
        <v>1.1000000000000001E-2</v>
      </c>
      <c r="I108" s="49">
        <v>1.0999999999999999E-2</v>
      </c>
      <c r="K108" s="59"/>
      <c r="L108" s="59"/>
      <c r="M108" s="59"/>
      <c r="N108" s="59"/>
      <c r="O108" s="59"/>
      <c r="Q108" s="59"/>
      <c r="R108" s="59"/>
    </row>
    <row r="109" spans="1:18" ht="19.95" customHeight="1" thickBot="1" x14ac:dyDescent="0.35">
      <c r="A109" s="54" t="s">
        <v>270</v>
      </c>
      <c r="B109" s="54"/>
      <c r="C109" s="54" t="s">
        <v>380</v>
      </c>
      <c r="D109" s="54" t="s">
        <v>381</v>
      </c>
      <c r="E109" s="48" t="s">
        <v>216</v>
      </c>
      <c r="F109" s="49" t="s">
        <v>217</v>
      </c>
      <c r="G109" s="45" t="str">
        <f t="shared" si="17"/>
        <v>43 -  - Journée de travail (100 j.)</v>
      </c>
      <c r="H109" s="49">
        <f>0.35/100</f>
        <v>3.4999999999999996E-3</v>
      </c>
      <c r="I109" s="49">
        <v>1.4E-2</v>
      </c>
      <c r="K109" s="59"/>
      <c r="L109" s="59"/>
      <c r="M109" s="59"/>
      <c r="N109" s="59"/>
      <c r="O109" s="59"/>
      <c r="Q109" s="59"/>
      <c r="R109" s="59"/>
    </row>
    <row r="110" spans="1:18" ht="19.95" customHeight="1" thickBot="1" x14ac:dyDescent="0.35">
      <c r="A110" s="54" t="s">
        <v>271</v>
      </c>
      <c r="B110" s="54"/>
      <c r="C110" s="54" t="s">
        <v>382</v>
      </c>
      <c r="D110" s="54"/>
      <c r="E110" s="48" t="s">
        <v>216</v>
      </c>
      <c r="F110" s="49" t="s">
        <v>217</v>
      </c>
      <c r="G110" s="45" t="str">
        <f t="shared" si="17"/>
        <v>45 -  - Journée de travail (100 j.)</v>
      </c>
      <c r="H110" s="49">
        <f>11.8/100</f>
        <v>0.11800000000000001</v>
      </c>
      <c r="I110" s="49">
        <v>1.9E-2</v>
      </c>
      <c r="K110" s="59"/>
      <c r="L110" s="59"/>
      <c r="M110" s="59"/>
      <c r="N110" s="59"/>
      <c r="O110" s="59"/>
      <c r="Q110" s="59"/>
      <c r="R110" s="59"/>
    </row>
    <row r="111" spans="1:18" ht="19.95" customHeight="1" thickBot="1" x14ac:dyDescent="0.35">
      <c r="A111" s="54" t="s">
        <v>272</v>
      </c>
      <c r="B111" s="54" t="s">
        <v>273</v>
      </c>
      <c r="C111" s="54" t="s">
        <v>383</v>
      </c>
      <c r="D111" s="54"/>
      <c r="E111" s="48" t="s">
        <v>260</v>
      </c>
      <c r="F111" s="49" t="s">
        <v>203</v>
      </c>
      <c r="G111" s="45" t="str">
        <f t="shared" si="17"/>
        <v>48 - 02 - Poids brut de matériaux à détruire (tonne)</v>
      </c>
      <c r="H111" s="50">
        <v>1.1000000000000001</v>
      </c>
      <c r="I111" s="49">
        <v>3.2000000000000001E-2</v>
      </c>
      <c r="K111" s="59"/>
      <c r="L111" s="59"/>
      <c r="M111" s="59"/>
      <c r="N111" s="59"/>
      <c r="O111" s="59"/>
      <c r="Q111" s="59"/>
      <c r="R111" s="59"/>
    </row>
    <row r="112" spans="1:18" ht="19.95" customHeight="1" thickBot="1" x14ac:dyDescent="0.35">
      <c r="A112" s="54" t="s">
        <v>274</v>
      </c>
      <c r="B112" s="54"/>
      <c r="C112" s="54" t="s">
        <v>384</v>
      </c>
      <c r="D112" s="54"/>
      <c r="E112" s="48" t="s">
        <v>216</v>
      </c>
      <c r="F112" s="49" t="s">
        <v>217</v>
      </c>
      <c r="G112" s="45" t="str">
        <f t="shared" si="17"/>
        <v>50 -  - Journée de travail (100 j.)</v>
      </c>
      <c r="H112" s="49">
        <f>23.6/100</f>
        <v>0.23600000000000002</v>
      </c>
      <c r="I112" s="49">
        <v>1.0999999999999999E-2</v>
      </c>
      <c r="K112" s="59"/>
      <c r="L112" s="59"/>
      <c r="M112" s="59"/>
      <c r="N112" s="59"/>
      <c r="O112" s="59"/>
      <c r="Q112" s="59"/>
      <c r="R112" s="59"/>
    </row>
    <row r="113" spans="1:18" ht="19.95" customHeight="1" thickBot="1" x14ac:dyDescent="0.35">
      <c r="A113" s="54" t="s">
        <v>275</v>
      </c>
      <c r="B113" s="54"/>
      <c r="C113" s="54" t="s">
        <v>385</v>
      </c>
      <c r="D113" s="54"/>
      <c r="E113" s="48" t="s">
        <v>216</v>
      </c>
      <c r="F113" s="49" t="s">
        <v>217</v>
      </c>
      <c r="G113" s="45" t="str">
        <f t="shared" si="17"/>
        <v>53 -  - Journée de travail (100 j.)</v>
      </c>
      <c r="H113" s="49">
        <f>11.8/100</f>
        <v>0.11800000000000001</v>
      </c>
      <c r="I113" s="49">
        <v>1.9E-2</v>
      </c>
      <c r="K113" s="59"/>
      <c r="L113" s="59"/>
      <c r="M113" s="59"/>
      <c r="N113" s="59"/>
      <c r="O113" s="59"/>
      <c r="Q113" s="59"/>
      <c r="R113" s="59"/>
    </row>
    <row r="114" spans="1:18" ht="19.95" customHeight="1" thickBot="1" x14ac:dyDescent="0.35">
      <c r="A114" s="54" t="s">
        <v>276</v>
      </c>
      <c r="B114" s="54"/>
      <c r="C114" s="54" t="s">
        <v>386</v>
      </c>
      <c r="D114" s="54"/>
      <c r="E114" s="48" t="s">
        <v>216</v>
      </c>
      <c r="F114" s="49" t="s">
        <v>217</v>
      </c>
      <c r="G114" s="45" t="str">
        <f t="shared" si="17"/>
        <v>60 -  - Journée de travail (100 j.)</v>
      </c>
      <c r="H114" s="49">
        <f>0.22/100</f>
        <v>2.2000000000000001E-3</v>
      </c>
      <c r="I114" s="49">
        <v>0.01</v>
      </c>
      <c r="K114" s="59"/>
      <c r="L114" s="59"/>
      <c r="M114" s="59"/>
      <c r="N114" s="59"/>
      <c r="O114" s="59"/>
      <c r="Q114" s="59"/>
      <c r="R114" s="59"/>
    </row>
    <row r="115" spans="1:18" ht="19.95" customHeight="1" thickBot="1" x14ac:dyDescent="0.35">
      <c r="A115" s="77">
        <v>61</v>
      </c>
      <c r="B115" s="54"/>
      <c r="C115" s="54" t="s">
        <v>178</v>
      </c>
      <c r="D115" s="54"/>
      <c r="E115" s="48" t="s">
        <v>221</v>
      </c>
      <c r="F115" s="50" t="s">
        <v>219</v>
      </c>
      <c r="G115" s="45" t="str">
        <f t="shared" si="17"/>
        <v>61 -  - Eau utilisée (m³)</v>
      </c>
      <c r="H115" s="49">
        <v>8.0000000000000002E-3</v>
      </c>
      <c r="I115" s="49">
        <v>0</v>
      </c>
      <c r="K115" s="59"/>
      <c r="L115" s="59"/>
      <c r="M115" s="59"/>
      <c r="N115" s="59"/>
      <c r="O115" s="59"/>
      <c r="Q115" s="59"/>
      <c r="R115" s="59"/>
    </row>
    <row r="116" spans="1:18" ht="19.95" customHeight="1" thickBot="1" x14ac:dyDescent="0.35">
      <c r="A116" s="54" t="s">
        <v>277</v>
      </c>
      <c r="B116" s="54" t="s">
        <v>267</v>
      </c>
      <c r="C116" s="54" t="s">
        <v>387</v>
      </c>
      <c r="D116" s="54" t="s">
        <v>388</v>
      </c>
      <c r="E116" s="48" t="s">
        <v>261</v>
      </c>
      <c r="F116" s="50" t="s">
        <v>262</v>
      </c>
      <c r="G116" s="45" t="str">
        <f t="shared" si="17"/>
        <v>66 - 01 - Nombre de lits (Lit)</v>
      </c>
      <c r="H116" s="50">
        <v>3</v>
      </c>
      <c r="I116" s="50">
        <v>0</v>
      </c>
      <c r="K116" s="59"/>
      <c r="L116" s="59"/>
      <c r="M116" s="59"/>
      <c r="N116" s="59"/>
      <c r="O116" s="59"/>
      <c r="Q116" s="59"/>
      <c r="R116" s="59"/>
    </row>
    <row r="117" spans="1:18" ht="19.95" customHeight="1" thickBot="1" x14ac:dyDescent="0.35">
      <c r="A117" s="54" t="s">
        <v>277</v>
      </c>
      <c r="B117" s="54" t="s">
        <v>273</v>
      </c>
      <c r="C117" s="54"/>
      <c r="D117" s="54" t="s">
        <v>389</v>
      </c>
      <c r="E117" s="48" t="s">
        <v>261</v>
      </c>
      <c r="F117" s="50" t="s">
        <v>262</v>
      </c>
      <c r="G117" s="45" t="str">
        <f t="shared" si="17"/>
        <v>66 - 02 - Nombre de lits (Lit)</v>
      </c>
      <c r="H117" s="50">
        <v>3.6</v>
      </c>
      <c r="I117" s="50">
        <v>0</v>
      </c>
      <c r="K117" s="59"/>
      <c r="L117" s="59"/>
      <c r="M117" s="59"/>
      <c r="N117" s="59"/>
      <c r="O117" s="59"/>
      <c r="Q117" s="59"/>
      <c r="R117" s="59"/>
    </row>
    <row r="118" spans="1:18" ht="19.95" customHeight="1" thickBot="1" x14ac:dyDescent="0.35">
      <c r="A118" s="54" t="s">
        <v>278</v>
      </c>
      <c r="B118" s="54" t="s">
        <v>267</v>
      </c>
      <c r="C118" s="54" t="s">
        <v>390</v>
      </c>
      <c r="D118" s="54" t="s">
        <v>391</v>
      </c>
      <c r="E118" s="48" t="s">
        <v>216</v>
      </c>
      <c r="F118" s="49" t="s">
        <v>217</v>
      </c>
      <c r="G118" s="45" t="str">
        <f t="shared" si="17"/>
        <v>79 - 01 - Journée de travail (100 j.)</v>
      </c>
      <c r="H118" s="49">
        <f>0.65/100</f>
        <v>6.5000000000000006E-3</v>
      </c>
      <c r="I118" s="49">
        <v>0.01</v>
      </c>
      <c r="K118" s="59"/>
      <c r="L118" s="59"/>
      <c r="M118" s="59"/>
      <c r="N118" s="59"/>
      <c r="O118" s="59"/>
      <c r="Q118" s="59"/>
      <c r="R118" s="59"/>
    </row>
    <row r="119" spans="1:18" ht="19.95" customHeight="1" thickBot="1" x14ac:dyDescent="0.35">
      <c r="A119" s="54" t="s">
        <v>278</v>
      </c>
      <c r="B119" s="54" t="s">
        <v>279</v>
      </c>
      <c r="C119" s="54"/>
      <c r="D119" s="54" t="s">
        <v>392</v>
      </c>
      <c r="E119" s="48" t="s">
        <v>221</v>
      </c>
      <c r="F119" s="50" t="s">
        <v>219</v>
      </c>
      <c r="G119" s="45" t="str">
        <f t="shared" si="17"/>
        <v>79 - 03 - Eau utilisée (m³)</v>
      </c>
      <c r="H119" s="49">
        <v>0.04</v>
      </c>
      <c r="I119" s="49">
        <v>3.2000000000000001E-2</v>
      </c>
      <c r="K119" s="59"/>
      <c r="L119" s="59"/>
      <c r="M119" s="59"/>
      <c r="N119" s="59"/>
      <c r="O119" s="59"/>
      <c r="Q119" s="59"/>
      <c r="R119" s="59"/>
    </row>
    <row r="120" spans="1:18" ht="19.95" customHeight="1" thickBot="1" x14ac:dyDescent="0.35">
      <c r="A120" s="54" t="s">
        <v>280</v>
      </c>
      <c r="B120" s="54"/>
      <c r="C120" s="54" t="s">
        <v>393</v>
      </c>
      <c r="D120" s="54"/>
      <c r="E120" s="48" t="s">
        <v>216</v>
      </c>
      <c r="F120" s="49" t="s">
        <v>217</v>
      </c>
      <c r="G120" s="45" t="str">
        <f t="shared" si="17"/>
        <v>80 -  - Journée de travail (100 j.)</v>
      </c>
      <c r="H120" s="49">
        <f>11.8/100</f>
        <v>0.11800000000000001</v>
      </c>
      <c r="I120" s="49">
        <v>1.9E-2</v>
      </c>
      <c r="K120" s="59"/>
      <c r="L120" s="59"/>
      <c r="M120" s="59"/>
      <c r="N120" s="59"/>
      <c r="O120" s="59"/>
      <c r="Q120" s="59"/>
      <c r="R120" s="59"/>
    </row>
    <row r="121" spans="1:18" ht="19.95" customHeight="1" thickBot="1" x14ac:dyDescent="0.35">
      <c r="A121" s="54" t="s">
        <v>281</v>
      </c>
      <c r="B121" s="54" t="s">
        <v>267</v>
      </c>
      <c r="C121" s="54" t="s">
        <v>394</v>
      </c>
      <c r="D121" s="54" t="s">
        <v>395</v>
      </c>
      <c r="E121" s="48" t="s">
        <v>216</v>
      </c>
      <c r="F121" s="49" t="s">
        <v>217</v>
      </c>
      <c r="G121" s="45" t="str">
        <f t="shared" si="17"/>
        <v>83 - 01 - Journée de travail (100 j.)</v>
      </c>
      <c r="H121" s="49">
        <f>0.18/100</f>
        <v>1.8E-3</v>
      </c>
      <c r="I121" s="49">
        <v>0.01</v>
      </c>
      <c r="K121" s="59"/>
      <c r="L121" s="59"/>
      <c r="M121" s="59"/>
      <c r="N121" s="59"/>
      <c r="O121" s="59"/>
      <c r="Q121" s="59"/>
      <c r="R121" s="59"/>
    </row>
    <row r="122" spans="1:18" ht="19.95" customHeight="1" thickBot="1" x14ac:dyDescent="0.35">
      <c r="A122" s="54" t="s">
        <v>281</v>
      </c>
      <c r="B122" s="54" t="s">
        <v>273</v>
      </c>
      <c r="C122" s="54"/>
      <c r="D122" s="54" t="s">
        <v>396</v>
      </c>
      <c r="E122" s="48" t="s">
        <v>216</v>
      </c>
      <c r="F122" s="49" t="s">
        <v>217</v>
      </c>
      <c r="G122" s="45" t="str">
        <f t="shared" si="17"/>
        <v>83 - 02 - Journée de travail (100 j.)</v>
      </c>
      <c r="H122" s="49">
        <f>0.18/100</f>
        <v>1.8E-3</v>
      </c>
      <c r="I122" s="49">
        <v>0.01</v>
      </c>
      <c r="K122" s="59"/>
      <c r="L122" s="59"/>
      <c r="M122" s="59"/>
      <c r="N122" s="59"/>
      <c r="O122" s="59"/>
      <c r="Q122" s="59"/>
      <c r="R122" s="59"/>
    </row>
    <row r="123" spans="1:18" ht="19.95" customHeight="1" thickBot="1" x14ac:dyDescent="0.35">
      <c r="A123" s="54" t="s">
        <v>282</v>
      </c>
      <c r="B123" s="54" t="s">
        <v>267</v>
      </c>
      <c r="C123" s="54" t="s">
        <v>397</v>
      </c>
      <c r="D123" s="54" t="s">
        <v>398</v>
      </c>
      <c r="E123" s="48" t="s">
        <v>216</v>
      </c>
      <c r="F123" s="49" t="s">
        <v>217</v>
      </c>
      <c r="G123" s="45" t="str">
        <f t="shared" si="17"/>
        <v>84 - 01 - Journée de travail (100 j.)</v>
      </c>
      <c r="H123" s="49">
        <f>11.8/100</f>
        <v>0.11800000000000001</v>
      </c>
      <c r="I123" s="49">
        <v>1.9E-2</v>
      </c>
      <c r="K123" s="59"/>
      <c r="L123" s="59"/>
      <c r="M123" s="59"/>
      <c r="N123" s="59"/>
      <c r="O123" s="59"/>
      <c r="Q123" s="59"/>
      <c r="R123" s="59"/>
    </row>
    <row r="124" spans="1:18" ht="19.95" customHeight="1" thickBot="1" x14ac:dyDescent="0.35">
      <c r="A124" s="54" t="s">
        <v>282</v>
      </c>
      <c r="B124" s="54" t="s">
        <v>273</v>
      </c>
      <c r="C124" s="54"/>
      <c r="D124" s="57" t="s">
        <v>399</v>
      </c>
      <c r="E124" s="48" t="s">
        <v>216</v>
      </c>
      <c r="F124" s="49" t="s">
        <v>217</v>
      </c>
      <c r="G124" s="45" t="str">
        <f t="shared" si="17"/>
        <v>84 - 02 - Journée de travail (100 j.)</v>
      </c>
      <c r="H124" s="49">
        <f>23.6/100</f>
        <v>0.23600000000000002</v>
      </c>
      <c r="I124" s="49">
        <v>1.0999999999999999E-2</v>
      </c>
      <c r="K124" s="59"/>
      <c r="L124" s="59"/>
      <c r="M124" s="59"/>
      <c r="N124" s="59"/>
      <c r="O124" s="59"/>
      <c r="Q124" s="59"/>
      <c r="R124" s="59"/>
    </row>
    <row r="125" spans="1:18" ht="19.95" customHeight="1" thickBot="1" x14ac:dyDescent="0.35">
      <c r="A125" s="54" t="s">
        <v>283</v>
      </c>
      <c r="B125" s="54" t="s">
        <v>267</v>
      </c>
      <c r="C125" s="54" t="s">
        <v>400</v>
      </c>
      <c r="D125" s="54" t="s">
        <v>401</v>
      </c>
      <c r="E125" s="48" t="s">
        <v>216</v>
      </c>
      <c r="F125" s="49" t="s">
        <v>217</v>
      </c>
      <c r="G125" s="45" t="str">
        <f t="shared" si="17"/>
        <v>85 - 01 - Journée de travail (100 j.)</v>
      </c>
      <c r="H125" s="49">
        <f>0.35/100</f>
        <v>3.4999999999999996E-3</v>
      </c>
      <c r="I125" s="49">
        <v>1.4E-2</v>
      </c>
      <c r="K125" s="59"/>
      <c r="L125" s="59"/>
      <c r="M125" s="59"/>
      <c r="N125" s="59"/>
      <c r="O125" s="59"/>
      <c r="Q125" s="59"/>
      <c r="R125" s="59"/>
    </row>
    <row r="126" spans="1:18" ht="19.95" customHeight="1" thickBot="1" x14ac:dyDescent="0.35">
      <c r="A126" s="54" t="s">
        <v>283</v>
      </c>
      <c r="B126" s="54" t="s">
        <v>273</v>
      </c>
      <c r="C126" s="54"/>
      <c r="D126" s="54" t="s">
        <v>402</v>
      </c>
      <c r="E126" s="48" t="s">
        <v>216</v>
      </c>
      <c r="F126" s="49" t="s">
        <v>217</v>
      </c>
      <c r="G126" s="45" t="str">
        <f t="shared" si="17"/>
        <v>85 - 02 - Journée de travail (100 j.)</v>
      </c>
      <c r="H126" s="49">
        <f>0.22/100</f>
        <v>2.2000000000000001E-3</v>
      </c>
      <c r="I126" s="49">
        <v>1.4E-2</v>
      </c>
      <c r="K126" s="59"/>
      <c r="L126" s="59"/>
      <c r="M126" s="59"/>
      <c r="N126" s="59"/>
      <c r="O126" s="59"/>
      <c r="Q126" s="59"/>
      <c r="R126" s="59"/>
    </row>
    <row r="127" spans="1:18" ht="19.95" customHeight="1" thickBot="1" x14ac:dyDescent="0.35">
      <c r="A127" s="54" t="s">
        <v>284</v>
      </c>
      <c r="B127" s="54" t="s">
        <v>267</v>
      </c>
      <c r="C127" s="54" t="s">
        <v>403</v>
      </c>
      <c r="D127" s="54" t="s">
        <v>404</v>
      </c>
      <c r="E127" s="48" t="s">
        <v>216</v>
      </c>
      <c r="F127" s="49" t="s">
        <v>217</v>
      </c>
      <c r="G127" s="45" t="str">
        <f t="shared" si="17"/>
        <v>86 - 01 - Journée de travail (100 j.)</v>
      </c>
      <c r="H127" s="49">
        <f>0.08/100</f>
        <v>8.0000000000000004E-4</v>
      </c>
      <c r="I127" s="49">
        <v>1.0999999999999999E-2</v>
      </c>
      <c r="K127" s="59"/>
      <c r="L127" s="59"/>
      <c r="M127" s="59"/>
      <c r="N127" s="59"/>
      <c r="O127" s="59"/>
      <c r="Q127" s="59"/>
      <c r="R127" s="59"/>
    </row>
    <row r="128" spans="1:18" ht="19.95" customHeight="1" thickBot="1" x14ac:dyDescent="0.35">
      <c r="A128" s="54" t="s">
        <v>285</v>
      </c>
      <c r="B128" s="54"/>
      <c r="C128" s="54" t="s">
        <v>405</v>
      </c>
      <c r="D128" s="54"/>
      <c r="E128" s="48" t="s">
        <v>216</v>
      </c>
      <c r="F128" s="49" t="s">
        <v>217</v>
      </c>
      <c r="G128" s="45" t="str">
        <f t="shared" si="17"/>
        <v>88 -  - Journée de travail (100 j.)</v>
      </c>
      <c r="H128" s="49">
        <f>11.8/100</f>
        <v>0.11800000000000001</v>
      </c>
      <c r="I128" s="49">
        <v>1.9E-2</v>
      </c>
      <c r="K128" s="59"/>
      <c r="L128" s="59"/>
      <c r="M128" s="59"/>
      <c r="N128" s="59"/>
      <c r="O128" s="59"/>
      <c r="Q128" s="59"/>
      <c r="R128" s="59"/>
    </row>
    <row r="129" spans="1:18" ht="19.95" customHeight="1" thickBot="1" x14ac:dyDescent="0.35">
      <c r="A129" s="54" t="s">
        <v>286</v>
      </c>
      <c r="B129" s="54"/>
      <c r="C129" s="54" t="s">
        <v>406</v>
      </c>
      <c r="D129" s="54"/>
      <c r="E129" s="48" t="s">
        <v>216</v>
      </c>
      <c r="F129" s="49" t="s">
        <v>217</v>
      </c>
      <c r="G129" s="45" t="str">
        <f t="shared" si="17"/>
        <v>90 -  - Journée de travail (100 j.)</v>
      </c>
      <c r="H129" s="49">
        <f>0.22/100</f>
        <v>2.2000000000000001E-3</v>
      </c>
      <c r="I129" s="49">
        <v>1.0999999999999999E-2</v>
      </c>
      <c r="K129" s="59"/>
      <c r="L129" s="59"/>
      <c r="M129" s="59"/>
      <c r="N129" s="59"/>
      <c r="O129" s="59"/>
      <c r="Q129" s="59"/>
      <c r="R129" s="59"/>
    </row>
    <row r="130" spans="1:18" ht="19.95" customHeight="1" thickBot="1" x14ac:dyDescent="0.35">
      <c r="A130" s="54" t="s">
        <v>287</v>
      </c>
      <c r="B130" s="54" t="s">
        <v>267</v>
      </c>
      <c r="C130" s="54" t="s">
        <v>407</v>
      </c>
      <c r="D130" s="54" t="s">
        <v>408</v>
      </c>
      <c r="E130" s="48" t="s">
        <v>216</v>
      </c>
      <c r="F130" s="49" t="s">
        <v>217</v>
      </c>
      <c r="G130" s="45" t="str">
        <f t="shared" si="17"/>
        <v>92 - 01 - Journée de travail (100 j.)</v>
      </c>
      <c r="H130" s="49">
        <f>0.45/100</f>
        <v>4.5000000000000005E-3</v>
      </c>
      <c r="I130" s="49">
        <v>0.01</v>
      </c>
      <c r="K130" s="59"/>
      <c r="L130" s="59"/>
      <c r="M130" s="59"/>
      <c r="N130" s="59"/>
      <c r="O130" s="59"/>
      <c r="Q130" s="59"/>
      <c r="R130" s="59"/>
    </row>
    <row r="131" spans="1:18" ht="19.95" customHeight="1" thickBot="1" x14ac:dyDescent="0.35">
      <c r="A131" s="54" t="s">
        <v>287</v>
      </c>
      <c r="B131" s="54" t="s">
        <v>273</v>
      </c>
      <c r="C131" s="54"/>
      <c r="D131" s="54" t="s">
        <v>409</v>
      </c>
      <c r="E131" s="48" t="s">
        <v>228</v>
      </c>
      <c r="F131" s="49" t="s">
        <v>203</v>
      </c>
      <c r="G131" s="45" t="str">
        <f t="shared" ref="G131:G135" si="18">_xlfn.CONCAT(A131," - ",B131," - ",E131," (",F131,")")</f>
        <v>92 - 02 - Matière première (tonne)</v>
      </c>
      <c r="H131" s="49">
        <v>0.75</v>
      </c>
      <c r="I131" s="49">
        <v>0.01</v>
      </c>
      <c r="K131" s="59"/>
      <c r="L131" s="59"/>
      <c r="M131" s="59"/>
      <c r="N131" s="59"/>
      <c r="O131" s="59"/>
      <c r="Q131" s="59"/>
      <c r="R131" s="59"/>
    </row>
    <row r="132" spans="1:18" ht="19.95" customHeight="1" thickBot="1" x14ac:dyDescent="0.35">
      <c r="A132" s="54" t="s">
        <v>287</v>
      </c>
      <c r="B132" s="54" t="s">
        <v>279</v>
      </c>
      <c r="C132" s="54"/>
      <c r="D132" s="54" t="s">
        <v>410</v>
      </c>
      <c r="E132" s="48" t="s">
        <v>231</v>
      </c>
      <c r="F132" s="49" t="s">
        <v>203</v>
      </c>
      <c r="G132" s="45" t="str">
        <f t="shared" si="18"/>
        <v>92 - 03 - Produit fabriqué (tonne)</v>
      </c>
      <c r="H132" s="49">
        <v>0.28999999999999998</v>
      </c>
      <c r="I132" s="49">
        <v>0.01</v>
      </c>
      <c r="K132" s="59"/>
      <c r="L132" s="59"/>
      <c r="M132" s="59"/>
      <c r="N132" s="59"/>
      <c r="O132" s="59"/>
      <c r="Q132" s="59"/>
      <c r="R132" s="59"/>
    </row>
    <row r="133" spans="1:18" ht="19.95" customHeight="1" thickBot="1" x14ac:dyDescent="0.35">
      <c r="A133" s="54" t="s">
        <v>287</v>
      </c>
      <c r="B133" s="54" t="s">
        <v>265</v>
      </c>
      <c r="C133" s="54"/>
      <c r="D133" s="54" t="s">
        <v>411</v>
      </c>
      <c r="E133" s="48" t="s">
        <v>231</v>
      </c>
      <c r="F133" s="49" t="s">
        <v>203</v>
      </c>
      <c r="G133" s="45" t="str">
        <f t="shared" si="18"/>
        <v>92 - 04 - Produit fabriqué (tonne)</v>
      </c>
      <c r="H133" s="50">
        <v>0.5</v>
      </c>
      <c r="I133" s="49">
        <v>0.01</v>
      </c>
      <c r="K133" s="59"/>
      <c r="L133" s="59"/>
      <c r="M133" s="59"/>
      <c r="N133" s="59"/>
      <c r="O133" s="59"/>
      <c r="Q133" s="59"/>
      <c r="R133" s="59"/>
    </row>
    <row r="134" spans="1:18" ht="19.95" customHeight="1" thickBot="1" x14ac:dyDescent="0.35">
      <c r="A134" s="54" t="s">
        <v>287</v>
      </c>
      <c r="B134" s="54" t="s">
        <v>288</v>
      </c>
      <c r="C134" s="54"/>
      <c r="D134" s="54" t="s">
        <v>412</v>
      </c>
      <c r="E134" s="48" t="s">
        <v>216</v>
      </c>
      <c r="F134" s="49" t="s">
        <v>217</v>
      </c>
      <c r="G134" s="45" t="str">
        <f t="shared" si="18"/>
        <v>92 - 05 - Journée de travail (100 j.)</v>
      </c>
      <c r="H134" s="49">
        <f>0.45/100</f>
        <v>4.5000000000000005E-3</v>
      </c>
      <c r="I134" s="49">
        <v>0.01</v>
      </c>
      <c r="K134" s="59"/>
      <c r="L134" s="59"/>
      <c r="M134" s="59"/>
      <c r="N134" s="59"/>
      <c r="O134" s="59"/>
      <c r="Q134" s="59"/>
      <c r="R134" s="59"/>
    </row>
    <row r="135" spans="1:18" ht="19.95" customHeight="1" thickBot="1" x14ac:dyDescent="0.35">
      <c r="A135" s="54" t="s">
        <v>289</v>
      </c>
      <c r="B135" s="54"/>
      <c r="C135" s="54" t="s">
        <v>413</v>
      </c>
      <c r="D135" s="54"/>
      <c r="E135" s="48" t="s">
        <v>221</v>
      </c>
      <c r="F135" s="50" t="s">
        <v>219</v>
      </c>
      <c r="G135" s="45" t="str">
        <f t="shared" si="18"/>
        <v>93 -  - Eau utilisée (m³)</v>
      </c>
      <c r="H135" s="49">
        <v>0.05</v>
      </c>
      <c r="I135" s="49">
        <v>3.2000000000000001E-2</v>
      </c>
      <c r="K135" s="59"/>
      <c r="L135" s="59"/>
      <c r="M135" s="59"/>
      <c r="N135" s="59"/>
      <c r="O135" s="59"/>
      <c r="Q135" s="59"/>
      <c r="R135" s="59"/>
    </row>
  </sheetData>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5">
    <tabColor theme="7" tint="0.39997558519241921"/>
  </sheetPr>
  <dimension ref="A1:V29"/>
  <sheetViews>
    <sheetView topLeftCell="A2" zoomScale="110" zoomScaleNormal="110" workbookViewId="0">
      <selection sqref="A1:D1"/>
    </sheetView>
  </sheetViews>
  <sheetFormatPr baseColWidth="10" defaultRowHeight="14.4" x14ac:dyDescent="0.3"/>
  <cols>
    <col min="2" max="2" width="15.33203125" bestFit="1" customWidth="1"/>
    <col min="7" max="7" width="12.5546875" bestFit="1" customWidth="1"/>
    <col min="8" max="8" width="16.44140625" bestFit="1" customWidth="1"/>
  </cols>
  <sheetData>
    <row r="1" spans="1:22" s="4" customFormat="1" x14ac:dyDescent="0.3">
      <c r="A1" s="4" t="s">
        <v>40</v>
      </c>
      <c r="B1" s="5"/>
      <c r="C1" s="6"/>
      <c r="D1" s="6"/>
      <c r="E1" s="6"/>
      <c r="F1" s="6"/>
      <c r="G1" s="6"/>
      <c r="H1" s="6"/>
      <c r="I1" s="6"/>
      <c r="J1" s="6"/>
      <c r="K1" s="6"/>
      <c r="L1" s="6"/>
      <c r="M1" s="6"/>
      <c r="N1" s="6"/>
      <c r="O1" s="6"/>
      <c r="P1" s="6"/>
      <c r="Q1" s="6"/>
      <c r="R1" s="6"/>
      <c r="S1" s="6"/>
      <c r="T1" s="6"/>
      <c r="U1" s="6"/>
      <c r="V1" s="6"/>
    </row>
    <row r="2" spans="1:22" s="1" customFormat="1" ht="100.8" x14ac:dyDescent="0.3">
      <c r="B2" s="2"/>
      <c r="C2" s="1" t="s">
        <v>0</v>
      </c>
      <c r="D2" s="1" t="s">
        <v>1</v>
      </c>
      <c r="E2" s="21" t="s">
        <v>2</v>
      </c>
      <c r="F2" s="21" t="s">
        <v>3</v>
      </c>
      <c r="G2" s="1" t="s">
        <v>109</v>
      </c>
      <c r="H2" s="21" t="s">
        <v>4</v>
      </c>
      <c r="I2" s="1" t="s">
        <v>5</v>
      </c>
      <c r="J2" s="1" t="s">
        <v>6</v>
      </c>
      <c r="K2" s="1" t="s">
        <v>7</v>
      </c>
      <c r="L2" s="1" t="s">
        <v>8</v>
      </c>
      <c r="M2" s="1" t="s">
        <v>9</v>
      </c>
      <c r="N2" s="1" t="s">
        <v>10</v>
      </c>
      <c r="O2" s="1" t="s">
        <v>11</v>
      </c>
      <c r="P2" s="1" t="s">
        <v>12</v>
      </c>
      <c r="Q2" s="1" t="s">
        <v>13</v>
      </c>
      <c r="R2" s="1" t="s">
        <v>14</v>
      </c>
      <c r="S2" s="1" t="s">
        <v>15</v>
      </c>
      <c r="T2" s="1" t="s">
        <v>105</v>
      </c>
      <c r="U2" s="1" t="s">
        <v>16</v>
      </c>
      <c r="V2" s="1" t="s">
        <v>17</v>
      </c>
    </row>
    <row r="3" spans="1:22" ht="31.5" customHeight="1" x14ac:dyDescent="0.3">
      <c r="A3" s="116" t="s">
        <v>104</v>
      </c>
      <c r="B3" s="117"/>
      <c r="C3" s="17">
        <f>Formule_complete!B12</f>
        <v>0</v>
      </c>
      <c r="D3" s="17">
        <f>Formule_complete!C12</f>
        <v>0</v>
      </c>
      <c r="E3" s="3"/>
      <c r="F3" s="3"/>
      <c r="G3" s="15">
        <f>Formule_complete!O12</f>
        <v>0</v>
      </c>
      <c r="H3" s="3"/>
      <c r="I3" s="17">
        <f>Formule_complete!N12</f>
        <v>0</v>
      </c>
      <c r="J3" s="17">
        <f>Formule_complete!P12</f>
        <v>0</v>
      </c>
      <c r="K3" s="17">
        <f>Formule_complete!E12</f>
        <v>0</v>
      </c>
      <c r="L3" s="17">
        <f>Formule_complete!F12</f>
        <v>0</v>
      </c>
      <c r="M3" s="17">
        <f>Formule_complete!G12</f>
        <v>0</v>
      </c>
      <c r="N3" s="17">
        <f>Formule_complete!H12</f>
        <v>0</v>
      </c>
      <c r="O3" s="17">
        <f>Formule_complete!I12</f>
        <v>0</v>
      </c>
      <c r="P3" s="17">
        <f>Formule_complete!J12</f>
        <v>0</v>
      </c>
      <c r="Q3" s="17">
        <f>Formule_complete!K12</f>
        <v>0</v>
      </c>
      <c r="R3" s="17">
        <f>Formule_complete!L12</f>
        <v>0</v>
      </c>
      <c r="S3" s="17">
        <f>Formule_complete!M12</f>
        <v>0</v>
      </c>
      <c r="T3" s="18">
        <f>Formule_complete!Q12</f>
        <v>0</v>
      </c>
      <c r="U3" s="15"/>
      <c r="V3" s="15">
        <v>0</v>
      </c>
    </row>
    <row r="4" spans="1:22" x14ac:dyDescent="0.3">
      <c r="C4" s="16"/>
      <c r="D4" s="16"/>
      <c r="I4" s="16"/>
      <c r="J4" s="16"/>
      <c r="K4" s="16"/>
      <c r="L4" s="16"/>
      <c r="M4" s="16"/>
      <c r="N4" s="16"/>
      <c r="O4" s="16"/>
      <c r="P4" s="16"/>
      <c r="Q4" s="16"/>
      <c r="R4" s="16"/>
      <c r="S4" s="16"/>
      <c r="T4" s="16"/>
    </row>
    <row r="5" spans="1:22" x14ac:dyDescent="0.3">
      <c r="A5" t="s">
        <v>101</v>
      </c>
      <c r="B5" s="17">
        <f>Formule_complete!R12</f>
        <v>0</v>
      </c>
      <c r="D5" t="s">
        <v>108</v>
      </c>
    </row>
    <row r="6" spans="1:22" x14ac:dyDescent="0.3">
      <c r="A6" t="s">
        <v>102</v>
      </c>
      <c r="B6" s="17">
        <f>Formule_complete!A12</f>
        <v>0</v>
      </c>
    </row>
    <row r="7" spans="1:22" x14ac:dyDescent="0.3">
      <c r="A7" t="s">
        <v>103</v>
      </c>
      <c r="B7" s="15">
        <f>Formule_complete!A17</f>
        <v>0</v>
      </c>
    </row>
    <row r="8" spans="1:22" x14ac:dyDescent="0.3">
      <c r="A8" t="s">
        <v>45</v>
      </c>
      <c r="B8" s="15">
        <f>Formule_complete!C17</f>
        <v>0</v>
      </c>
    </row>
    <row r="9" spans="1:22" ht="43.2" x14ac:dyDescent="0.3">
      <c r="A9" s="1" t="s">
        <v>110</v>
      </c>
      <c r="B9" s="33">
        <f>Formule_complete!D7</f>
        <v>0</v>
      </c>
    </row>
    <row r="11" spans="1:22" s="4" customFormat="1" x14ac:dyDescent="0.3">
      <c r="A11" s="4" t="s">
        <v>453</v>
      </c>
    </row>
    <row r="12" spans="1:22" x14ac:dyDescent="0.3">
      <c r="A12" t="s">
        <v>49</v>
      </c>
    </row>
    <row r="13" spans="1:22" s="8" customFormat="1" ht="10.199999999999999" x14ac:dyDescent="0.2">
      <c r="A13" s="8" t="s">
        <v>46</v>
      </c>
      <c r="B13" s="8" t="s">
        <v>47</v>
      </c>
      <c r="C13" s="8" t="s">
        <v>48</v>
      </c>
      <c r="D13" s="8" t="s">
        <v>50</v>
      </c>
      <c r="E13" s="8" t="s">
        <v>51</v>
      </c>
      <c r="F13" s="8" t="s">
        <v>52</v>
      </c>
      <c r="G13" s="8" t="s">
        <v>53</v>
      </c>
      <c r="H13" s="8" t="s">
        <v>54</v>
      </c>
      <c r="I13" s="8" t="s">
        <v>55</v>
      </c>
      <c r="J13" s="8" t="s">
        <v>56</v>
      </c>
      <c r="K13" s="8" t="s">
        <v>57</v>
      </c>
      <c r="L13" s="8" t="s">
        <v>21</v>
      </c>
      <c r="M13" s="8" t="s">
        <v>58</v>
      </c>
      <c r="N13" s="8" t="s">
        <v>59</v>
      </c>
    </row>
    <row r="14" spans="1:22" x14ac:dyDescent="0.3">
      <c r="A14" s="89">
        <v>342043632</v>
      </c>
      <c r="B14" s="89">
        <v>118045366</v>
      </c>
      <c r="C14" s="89">
        <v>74813986</v>
      </c>
      <c r="D14" s="89">
        <v>11270288</v>
      </c>
      <c r="E14" s="89">
        <v>1465934</v>
      </c>
      <c r="F14" s="89">
        <v>83262156</v>
      </c>
      <c r="G14" s="90">
        <v>250086.39999999999</v>
      </c>
      <c r="H14" s="90">
        <v>124332217.08922902</v>
      </c>
      <c r="I14" s="89">
        <v>0.23599999999999999</v>
      </c>
      <c r="J14" s="89">
        <v>0.39100000000000001</v>
      </c>
      <c r="K14" s="89">
        <v>0.26700000000000002</v>
      </c>
      <c r="L14" s="89">
        <v>6.8000000000000005E-2</v>
      </c>
      <c r="M14" s="89">
        <v>3.7999999999999999E-2</v>
      </c>
      <c r="N14" s="89">
        <v>9.1999999999999998E-2</v>
      </c>
    </row>
    <row r="15" spans="1:22" x14ac:dyDescent="0.3">
      <c r="A15" t="s">
        <v>60</v>
      </c>
    </row>
    <row r="16" spans="1:22" s="8" customFormat="1" ht="10.199999999999999" x14ac:dyDescent="0.2">
      <c r="A16" s="8" t="s">
        <v>61</v>
      </c>
      <c r="B16" s="8" t="s">
        <v>62</v>
      </c>
      <c r="C16" s="8" t="s">
        <v>63</v>
      </c>
      <c r="D16" s="8" t="s">
        <v>64</v>
      </c>
      <c r="E16" s="8" t="s">
        <v>65</v>
      </c>
      <c r="F16" s="8" t="s">
        <v>66</v>
      </c>
      <c r="G16" s="8" t="s">
        <v>67</v>
      </c>
      <c r="H16" s="8" t="s">
        <v>68</v>
      </c>
      <c r="I16" s="8" t="s">
        <v>75</v>
      </c>
      <c r="J16" s="8" t="s">
        <v>76</v>
      </c>
      <c r="K16" s="8" t="s">
        <v>77</v>
      </c>
      <c r="L16" s="8" t="s">
        <v>78</v>
      </c>
      <c r="M16" s="8" t="s">
        <v>79</v>
      </c>
    </row>
    <row r="17" spans="1:13" x14ac:dyDescent="0.3">
      <c r="A17" s="89">
        <v>715746</v>
      </c>
      <c r="B17" s="90">
        <v>42928605.019999996</v>
      </c>
      <c r="C17" s="89">
        <v>780606</v>
      </c>
      <c r="D17" s="89">
        <v>520403.88</v>
      </c>
      <c r="E17" s="89">
        <v>312242.32799999998</v>
      </c>
      <c r="F17" s="89">
        <v>47703.688999999998</v>
      </c>
      <c r="G17" s="89">
        <v>8673.3979999999992</v>
      </c>
      <c r="H17" s="90">
        <v>58610088.199999996</v>
      </c>
      <c r="I17" s="89">
        <v>0.38900000000000001</v>
      </c>
      <c r="J17" s="89">
        <v>0.28499999999999998</v>
      </c>
      <c r="K17" s="89">
        <v>0.245</v>
      </c>
      <c r="L17" s="89">
        <v>4.2999999999999997E-2</v>
      </c>
      <c r="M17" s="89">
        <v>3.7999999999999999E-2</v>
      </c>
    </row>
    <row r="18" spans="1:13" x14ac:dyDescent="0.3">
      <c r="B18" s="7"/>
      <c r="H18" s="7"/>
    </row>
    <row r="19" spans="1:13" s="4" customFormat="1" x14ac:dyDescent="0.3">
      <c r="A19" s="4" t="s">
        <v>69</v>
      </c>
    </row>
    <row r="20" spans="1:13" x14ac:dyDescent="0.3">
      <c r="A20" t="s">
        <v>106</v>
      </c>
      <c r="B20" t="s">
        <v>107</v>
      </c>
      <c r="C20" t="s">
        <v>107</v>
      </c>
      <c r="D20" t="s">
        <v>107</v>
      </c>
      <c r="E20" t="s">
        <v>107</v>
      </c>
    </row>
    <row r="21" spans="1:13" x14ac:dyDescent="0.3">
      <c r="A21" t="s">
        <v>70</v>
      </c>
      <c r="B21" t="s">
        <v>71</v>
      </c>
      <c r="C21" t="s">
        <v>72</v>
      </c>
      <c r="D21" t="s">
        <v>73</v>
      </c>
      <c r="E21" t="s">
        <v>74</v>
      </c>
    </row>
    <row r="22" spans="1:13" x14ac:dyDescent="0.3">
      <c r="A22" s="15">
        <f>Formule_complete!A21</f>
        <v>0</v>
      </c>
      <c r="B22" s="15">
        <f>Formule_complete!B21</f>
        <v>0</v>
      </c>
      <c r="C22" s="15">
        <f>Formule_complete!C21</f>
        <v>0</v>
      </c>
      <c r="D22" s="15">
        <f>Formule_complete!D21</f>
        <v>0</v>
      </c>
      <c r="E22" s="15">
        <f>Formule_complete!E21</f>
        <v>0</v>
      </c>
    </row>
    <row r="23" spans="1:13" s="4" customFormat="1" hidden="1" x14ac:dyDescent="0.3">
      <c r="A23" s="4" t="s">
        <v>80</v>
      </c>
    </row>
    <row r="24" spans="1:13" hidden="1" x14ac:dyDescent="0.3">
      <c r="A24" s="7">
        <v>0</v>
      </c>
    </row>
    <row r="26" spans="1:13" s="4" customFormat="1" x14ac:dyDescent="0.3">
      <c r="A26" s="4" t="s">
        <v>441</v>
      </c>
    </row>
    <row r="27" spans="1:13" x14ac:dyDescent="0.3">
      <c r="A27" s="91" t="s">
        <v>442</v>
      </c>
      <c r="B27" s="91"/>
      <c r="C27" s="91"/>
      <c r="D27" t="s">
        <v>443</v>
      </c>
    </row>
    <row r="28" spans="1:13" x14ac:dyDescent="0.3">
      <c r="A28" s="91"/>
      <c r="B28" s="91"/>
      <c r="C28" s="91"/>
      <c r="D28" t="s">
        <v>444</v>
      </c>
    </row>
    <row r="29" spans="1:13" x14ac:dyDescent="0.3">
      <c r="A29" t="str">
        <f>B16</f>
        <v>I_coll</v>
      </c>
      <c r="B29" s="7">
        <f>IF(Formule_complete!I15="OUI",données_FC!B17-0.13*données_FC!B17,données_FC!B17)</f>
        <v>42928605.019999996</v>
      </c>
    </row>
  </sheetData>
  <sheetProtection algorithmName="SHA-512" hashValue="VgE41vAI/EnL2eNY5LZ1RfQRLSZ8qmRE0MVajNe14ix8JEHrvr1wMwjULXjPoQhxnqKGUb6UmLTQUzk30maM1A==" saltValue="Kwpxg/0purfA+IkYZWNCGQ==" spinCount="100000" sheet="1" objects="1" scenarios="1"/>
  <mergeCells count="2">
    <mergeCell ref="A3:B3"/>
    <mergeCell ref="A27:C28"/>
  </mergeCells>
  <pageMargins left="0.7" right="0.7" top="0.75" bottom="0.75" header="0.3" footer="0.3"/>
  <pageSetup paperSize="9" orientation="portrait" copies="3"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tabColor theme="7" tint="0.39997558519241921"/>
  </sheetPr>
  <dimension ref="A1:Z5"/>
  <sheetViews>
    <sheetView workbookViewId="0">
      <selection sqref="A1:D1"/>
    </sheetView>
  </sheetViews>
  <sheetFormatPr baseColWidth="10" defaultRowHeight="14.4" x14ac:dyDescent="0.3"/>
  <cols>
    <col min="2" max="2" width="12.88671875" bestFit="1" customWidth="1"/>
  </cols>
  <sheetData>
    <row r="1" spans="1:26" ht="15" thickBot="1" x14ac:dyDescent="0.35">
      <c r="A1" s="19" t="s">
        <v>111</v>
      </c>
      <c r="B1" s="22">
        <f>ROUNDUP((F3+S3+V3+Y3+Z3)*F5,2)</f>
        <v>0</v>
      </c>
    </row>
    <row r="2" spans="1:26" x14ac:dyDescent="0.3">
      <c r="A2" t="s">
        <v>22</v>
      </c>
      <c r="B2" t="s">
        <v>18</v>
      </c>
      <c r="C2" t="s">
        <v>19</v>
      </c>
      <c r="D2" t="s">
        <v>20</v>
      </c>
      <c r="E2" t="s">
        <v>21</v>
      </c>
      <c r="F2" t="s">
        <v>24</v>
      </c>
      <c r="G2" t="s">
        <v>25</v>
      </c>
      <c r="H2" t="s">
        <v>26</v>
      </c>
      <c r="I2" t="s">
        <v>27</v>
      </c>
      <c r="J2" t="s">
        <v>28</v>
      </c>
      <c r="K2" t="s">
        <v>29</v>
      </c>
      <c r="L2" t="s">
        <v>30</v>
      </c>
      <c r="M2" t="s">
        <v>31</v>
      </c>
      <c r="N2" t="s">
        <v>32</v>
      </c>
      <c r="O2" t="s">
        <v>33</v>
      </c>
      <c r="P2" t="s">
        <v>34</v>
      </c>
      <c r="Q2" t="s">
        <v>35</v>
      </c>
      <c r="R2" t="s">
        <v>36</v>
      </c>
      <c r="S2" t="s">
        <v>37</v>
      </c>
      <c r="T2" t="s">
        <v>38</v>
      </c>
      <c r="U2" t="s">
        <v>39</v>
      </c>
      <c r="V2" t="s">
        <v>41</v>
      </c>
      <c r="W2" t="s">
        <v>23</v>
      </c>
      <c r="X2" t="s">
        <v>44</v>
      </c>
      <c r="Y2" t="s">
        <v>42</v>
      </c>
      <c r="Z2" t="s">
        <v>43</v>
      </c>
    </row>
    <row r="3" spans="1:26" x14ac:dyDescent="0.3">
      <c r="A3">
        <f>ROUNDUP(données_FC!B5,0)</f>
        <v>0</v>
      </c>
      <c r="B3">
        <f>ROUNDUP(données_FC!B6,0)</f>
        <v>0</v>
      </c>
      <c r="C3">
        <f>ROUNDUP(données_FC!C3,0)</f>
        <v>0</v>
      </c>
      <c r="D3">
        <f>ROUNDUP(données_FC!D3,0)</f>
        <v>0</v>
      </c>
      <c r="E3">
        <f>ROUNDUP(IF(données_FC!B9&lt;225,données_FC!B9/225,1),2)</f>
        <v>0</v>
      </c>
      <c r="F3">
        <f>ROUNDUP((B3/180)*(0.2+(0.35*C3/500)+(0.45*D3/525))*(0.4+0.6*E3),2)</f>
        <v>0</v>
      </c>
      <c r="G3">
        <f>données_FC!K3</f>
        <v>0</v>
      </c>
      <c r="H3">
        <f>données_FC!L3</f>
        <v>0</v>
      </c>
      <c r="I3">
        <f>données_FC!M3</f>
        <v>0</v>
      </c>
      <c r="J3">
        <f>données_FC!N3</f>
        <v>0</v>
      </c>
      <c r="K3">
        <f>données_FC!O3</f>
        <v>0</v>
      </c>
      <c r="L3">
        <f>données_FC!P3</f>
        <v>0</v>
      </c>
      <c r="M3">
        <f>données_FC!Q3</f>
        <v>0</v>
      </c>
      <c r="N3">
        <f>données_FC!R3</f>
        <v>0</v>
      </c>
      <c r="O3">
        <f>données_FC!S3</f>
        <v>0</v>
      </c>
      <c r="P3">
        <f>ROUNDUP(G3+H3+I3+L3,3)</f>
        <v>0</v>
      </c>
      <c r="Q3">
        <f>ROUNDUP(M3,3)</f>
        <v>0</v>
      </c>
      <c r="R3">
        <f>ROUNDUP(N3+O3+J3+K3,3)</f>
        <v>0</v>
      </c>
      <c r="S3">
        <f>ROUNDUP(A3*(taxe_FC!P3+0.2*taxe_FC!Q3+10*taxe_FC!R3)/500,2)</f>
        <v>0</v>
      </c>
      <c r="T3">
        <f>ROUNDUP(données_FC!I3,1)</f>
        <v>0</v>
      </c>
      <c r="U3">
        <f>ROUNDUP(données_FC!J3,1)</f>
        <v>0</v>
      </c>
      <c r="V3">
        <f>ROUNDUP(A3*(taxe_FC!T3+taxe_FC!U3)/10000,2)</f>
        <v>0</v>
      </c>
      <c r="W3">
        <f>données_FC!B7</f>
        <v>0</v>
      </c>
      <c r="X3">
        <f>IF(W3=0,0,données_FC!B8)</f>
        <v>0</v>
      </c>
      <c r="Y3">
        <f>ROUNDUP(IF((W3*X3&gt;1000000),0.2*W3*X3/10000,0),2)</f>
        <v>0</v>
      </c>
      <c r="Z3">
        <f>ROUNDUP(IF(A3*données_FC!T3/1000 &lt;50,0,A3*données_FC!T3/1000),2)</f>
        <v>0</v>
      </c>
    </row>
    <row r="5" spans="1:26" x14ac:dyDescent="0.3">
      <c r="A5" s="118" t="s">
        <v>112</v>
      </c>
      <c r="B5" s="118"/>
      <c r="C5" s="118"/>
      <c r="D5" s="118"/>
      <c r="E5" s="118"/>
      <c r="F5" s="15">
        <v>14.251200000000001</v>
      </c>
      <c r="G5" t="s">
        <v>113</v>
      </c>
    </row>
  </sheetData>
  <mergeCells count="1">
    <mergeCell ref="A5:E5"/>
  </mergeCells>
  <pageMargins left="0.7" right="0.7" top="0.75" bottom="0.75" header="0.3" footer="0.3"/>
  <pageSetup paperSize="9" orientation="portrait" copies="3"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7">
    <tabColor theme="7" tint="0.39997558519241921"/>
  </sheetPr>
  <dimension ref="A1:T11"/>
  <sheetViews>
    <sheetView workbookViewId="0">
      <selection sqref="A1:D1"/>
    </sheetView>
  </sheetViews>
  <sheetFormatPr baseColWidth="10" defaultRowHeight="14.4" x14ac:dyDescent="0.3"/>
  <cols>
    <col min="2" max="2" width="12.88671875" bestFit="1" customWidth="1"/>
  </cols>
  <sheetData>
    <row r="1" spans="1:20" x14ac:dyDescent="0.3">
      <c r="A1" t="s">
        <v>49</v>
      </c>
      <c r="B1" s="9">
        <f>ROUNDUP(((données_FC!I14*CVAI_FC!A3/données_FC!A14+données_FC!J14/0.75*CVAI_FC!C3/données_FC!B14+données_FC!K14*0.2/0.5*D3/données_FC!C14+données_FC!L14*CVAI_FC!E3/données_FC!D14+données_FC!M14*CVAI_FC!F3/données_FC!E14-2.86*données_FC!N14/0.75*CVAI_FC!G3/données_FC!B14)*données_FC!H14+O3/données_FC!F14*données_FC!G14),2)</f>
        <v>0</v>
      </c>
    </row>
    <row r="2" spans="1:20" x14ac:dyDescent="0.3">
      <c r="A2" t="s">
        <v>81</v>
      </c>
      <c r="B2" s="1"/>
      <c r="C2" t="s">
        <v>82</v>
      </c>
      <c r="D2" t="s">
        <v>83</v>
      </c>
      <c r="E2" t="s">
        <v>84</v>
      </c>
      <c r="F2" t="s">
        <v>85</v>
      </c>
      <c r="G2" t="s">
        <v>86</v>
      </c>
      <c r="H2" t="s">
        <v>32</v>
      </c>
      <c r="I2" t="s">
        <v>27</v>
      </c>
      <c r="J2" t="s">
        <v>26</v>
      </c>
      <c r="K2" t="s">
        <v>28</v>
      </c>
      <c r="L2" t="s">
        <v>29</v>
      </c>
      <c r="M2" t="s">
        <v>31</v>
      </c>
      <c r="N2" t="s">
        <v>33</v>
      </c>
      <c r="O2" t="s">
        <v>87</v>
      </c>
    </row>
    <row r="3" spans="1:20" x14ac:dyDescent="0.3">
      <c r="A3">
        <f>ROUNDUP(données_FC!B5,0)</f>
        <v>0</v>
      </c>
      <c r="C3">
        <f>ROUNDUP(A3*données_FC!D3/1000,0)</f>
        <v>0</v>
      </c>
      <c r="D3">
        <f>ROUNDUP(A3*données_FC!C3/1000,0)</f>
        <v>0</v>
      </c>
      <c r="E3">
        <f>ROUNDUP(A3*données_FC!I3/1000,0)</f>
        <v>0</v>
      </c>
      <c r="F3">
        <f>ROUNDUP(A3*données_FC!J3/1000,0)</f>
        <v>0</v>
      </c>
      <c r="G3">
        <f>ROUNDUP(A3*données_FC!G3/1000,0)</f>
        <v>0</v>
      </c>
      <c r="H3">
        <f>données_FC!R3</f>
        <v>0</v>
      </c>
      <c r="I3">
        <f>données_FC!M3</f>
        <v>0</v>
      </c>
      <c r="J3">
        <f>données_FC!L3</f>
        <v>0</v>
      </c>
      <c r="K3">
        <f>données_FC!N3</f>
        <v>0</v>
      </c>
      <c r="L3">
        <f>données_FC!O3</f>
        <v>0</v>
      </c>
      <c r="M3">
        <f>données_FC!Q3</f>
        <v>0</v>
      </c>
      <c r="N3">
        <f>données_FC!S3</f>
        <v>0</v>
      </c>
      <c r="O3" s="14">
        <f>T4</f>
        <v>0</v>
      </c>
    </row>
    <row r="4" spans="1:20" ht="43.2" x14ac:dyDescent="0.3">
      <c r="O4" s="10" t="s">
        <v>95</v>
      </c>
      <c r="P4" s="10" t="s">
        <v>96</v>
      </c>
      <c r="Q4" s="10" t="s">
        <v>97</v>
      </c>
      <c r="R4" s="10" t="s">
        <v>98</v>
      </c>
      <c r="S4" s="10" t="s">
        <v>99</v>
      </c>
      <c r="T4" s="11">
        <f>ROUNDUP(SUM(R5:R11),0)</f>
        <v>0</v>
      </c>
    </row>
    <row r="5" spans="1:20" x14ac:dyDescent="0.3">
      <c r="A5" t="s">
        <v>60</v>
      </c>
      <c r="B5" s="9">
        <f>ROUNDUP(données_FC!A22/données_FC!A17*données_FC!B29+(données_FC!I17*données_FC!A22/données_FC!C17+données_FC!J17*0.85/0.75*données_FC!B22/données_FC!D17+données_FC!K17*0.2/0.5*données_FC!C22/données_FC!E17+données_FC!L17*données_FC!D22/données_FC!F17+données_FC!M17*données_FC!E22/données_FC!G17)*données_FC!H17,2)</f>
        <v>0</v>
      </c>
      <c r="O5" s="12" t="s">
        <v>88</v>
      </c>
      <c r="P5" s="12">
        <f>H3*A3/1000</f>
        <v>0</v>
      </c>
      <c r="Q5" s="12">
        <v>10</v>
      </c>
      <c r="R5" s="12">
        <f t="shared" ref="R5:R11" si="0">P5/Q5*1000000</f>
        <v>0</v>
      </c>
      <c r="S5" s="13"/>
      <c r="T5" s="13"/>
    </row>
    <row r="6" spans="1:20" ht="15" thickBot="1" x14ac:dyDescent="0.35">
      <c r="O6" s="12" t="s">
        <v>89</v>
      </c>
      <c r="P6" s="12">
        <f>I3*A3/1000</f>
        <v>0</v>
      </c>
      <c r="Q6" s="12">
        <v>600</v>
      </c>
      <c r="R6" s="12">
        <f t="shared" si="0"/>
        <v>0</v>
      </c>
      <c r="S6" s="13"/>
      <c r="T6" s="13"/>
    </row>
    <row r="7" spans="1:20" ht="15" thickBot="1" x14ac:dyDescent="0.35">
      <c r="A7" s="19" t="s">
        <v>100</v>
      </c>
      <c r="B7" s="20">
        <f>ROUNDUP((B1+B5)*1.05,2)</f>
        <v>0</v>
      </c>
      <c r="O7" s="12" t="s">
        <v>90</v>
      </c>
      <c r="P7" s="12">
        <f>J3*A3/1000</f>
        <v>0</v>
      </c>
      <c r="Q7" s="12">
        <v>500</v>
      </c>
      <c r="R7" s="12">
        <f t="shared" si="0"/>
        <v>0</v>
      </c>
      <c r="S7" s="13"/>
      <c r="T7" s="13"/>
    </row>
    <row r="8" spans="1:20" x14ac:dyDescent="0.3">
      <c r="O8" s="12" t="s">
        <v>91</v>
      </c>
      <c r="P8" s="12">
        <f>K3*A3/1000</f>
        <v>0</v>
      </c>
      <c r="Q8" s="12">
        <v>100</v>
      </c>
      <c r="R8" s="12">
        <f t="shared" si="0"/>
        <v>0</v>
      </c>
      <c r="S8" s="13"/>
      <c r="T8" s="13"/>
    </row>
    <row r="9" spans="1:20" x14ac:dyDescent="0.3">
      <c r="O9" s="12" t="s">
        <v>92</v>
      </c>
      <c r="P9" s="12">
        <f>L3*A3/1000</f>
        <v>0</v>
      </c>
      <c r="Q9" s="12">
        <v>500</v>
      </c>
      <c r="R9" s="12">
        <f t="shared" si="0"/>
        <v>0</v>
      </c>
    </row>
    <row r="10" spans="1:20" x14ac:dyDescent="0.3">
      <c r="O10" s="12" t="s">
        <v>93</v>
      </c>
      <c r="P10" s="12">
        <f>M3*A3/1000</f>
        <v>0</v>
      </c>
      <c r="Q10" s="12">
        <v>2000</v>
      </c>
      <c r="R10" s="12">
        <f t="shared" si="0"/>
        <v>0</v>
      </c>
    </row>
    <row r="11" spans="1:20" x14ac:dyDescent="0.3">
      <c r="O11" s="12" t="s">
        <v>94</v>
      </c>
      <c r="P11" s="12">
        <f>N3*A3/1000</f>
        <v>0</v>
      </c>
      <c r="Q11" s="12">
        <v>10</v>
      </c>
      <c r="R11" s="12">
        <f t="shared" si="0"/>
        <v>0</v>
      </c>
    </row>
  </sheetData>
  <sheetProtection algorithmName="SHA-512" hashValue="FmaDA+PGkHNs9oQzQqGExrPTYL4lwk9B/aRQdjUaEW48m2obZaFxUY63/ih85zDHUAyI5cpHsPH+1E2Cr/udUQ==" saltValue="p50Ry6Itmu8C0wqwBaWmEQ==" spinCount="100000" sheet="1" objects="1" scenarios="1"/>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B4D09-2F34-413C-B389-D09DA1CEFB87}">
  <sheetPr codeName="Feuil8">
    <tabColor theme="7" tint="0.39997558519241921"/>
  </sheetPr>
  <dimension ref="A1:B1"/>
  <sheetViews>
    <sheetView workbookViewId="0">
      <selection sqref="A1:D1"/>
    </sheetView>
  </sheetViews>
  <sheetFormatPr baseColWidth="10" defaultRowHeight="14.4" x14ac:dyDescent="0.3"/>
  <cols>
    <col min="2" max="2" width="12.88671875" bestFit="1" customWidth="1"/>
  </cols>
  <sheetData>
    <row r="1" spans="1:2" ht="15" thickBot="1" x14ac:dyDescent="0.35">
      <c r="A1" s="19" t="s">
        <v>114</v>
      </c>
      <c r="B1" s="23">
        <f>MIN(taxe_FC!B1,CVAI_FC!B7)</f>
        <v>0</v>
      </c>
    </row>
  </sheetData>
  <sheetProtection algorithmName="SHA-512" hashValue="QQqAdVWXys8qZtjWZP6UiwnF3bkFMexDOpQ+jKRPAHMRVQOHe+TyKJ0gGrSW0foGHlw9TP3AMjoGvV0qWzvQKg==" saltValue="R5sfh3F6kHar3A2RoXycQw==" spinCount="100000" sheet="1" objects="1" scenarios="1"/>
  <pageMargins left="0.7" right="0.7" top="0.75" bottom="0.75" header="0.3" footer="0.3"/>
  <pageSetup paperSize="9" orientation="portrait" copies="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1AEBCEDDAA524A91CC37ABA6B7D04F" ma:contentTypeVersion="0" ma:contentTypeDescription="Crée un document." ma:contentTypeScope="" ma:versionID="1847f46a802bc0406a53920c075aa86b">
  <xsd:schema xmlns:xsd="http://www.w3.org/2001/XMLSchema" xmlns:xs="http://www.w3.org/2001/XMLSchema" xmlns:p="http://schemas.microsoft.com/office/2006/metadata/properties" xmlns:ns2="221a9323-ac13-43c5-91e6-4caa4c60cace" targetNamespace="http://schemas.microsoft.com/office/2006/metadata/properties" ma:root="true" ma:fieldsID="b2924960cad43c913b51aeb9052caf2b" ns2:_="">
    <xsd:import namespace="221a9323-ac13-43c5-91e6-4caa4c60cace"/>
    <xsd:element name="properties">
      <xsd:complexType>
        <xsd:sequence>
          <xsd:element name="documentManagement">
            <xsd:complexType>
              <xsd:all>
                <xsd:element ref="ns2:Deno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1a9323-ac13-43c5-91e6-4caa4c60cace" elementFormDefault="qualified">
    <xsd:import namespace="http://schemas.microsoft.com/office/2006/documentManagement/types"/>
    <xsd:import namespace="http://schemas.microsoft.com/office/infopath/2007/PartnerControls"/>
    <xsd:element name="Denom" ma:index="8" nillable="true" ma:displayName="Denom" ma:internalName="Denom"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enom xmlns="221a9323-ac13-43c5-91e6-4caa4c60cac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E49888-2985-4451-B84D-DB816615D3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1a9323-ac13-43c5-91e6-4caa4c60ca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16A24E-9716-48DC-814D-7FD086DCA3A1}">
  <ds:schemaRefs>
    <ds:schemaRef ds:uri="http://schemas.microsoft.com/office/2006/metadata/properties"/>
    <ds:schemaRef ds:uri="http://schemas.microsoft.com/office/infopath/2007/PartnerControls"/>
    <ds:schemaRef ds:uri="221a9323-ac13-43c5-91e6-4caa4c60cace"/>
  </ds:schemaRefs>
</ds:datastoreItem>
</file>

<file path=customXml/itemProps3.xml><?xml version="1.0" encoding="utf-8"?>
<ds:datastoreItem xmlns:ds="http://schemas.openxmlformats.org/officeDocument/2006/customXml" ds:itemID="{5843CAF3-6E39-4F16-814F-1364547DB0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158</vt:i4>
      </vt:variant>
    </vt:vector>
  </HeadingPairs>
  <TitlesOfParts>
    <vt:vector size="166" baseType="lpstr">
      <vt:lpstr>Formule_complete</vt:lpstr>
      <vt:lpstr>Form_simplifiee_couts_unitaires</vt:lpstr>
      <vt:lpstr>CVAI_CU</vt:lpstr>
      <vt:lpstr>taxe_FS</vt:lpstr>
      <vt:lpstr>données_FC</vt:lpstr>
      <vt:lpstr>taxe_FC</vt:lpstr>
      <vt:lpstr>CVAI_FC</vt:lpstr>
      <vt:lpstr>CAI_FC</vt:lpstr>
      <vt:lpstr>_1</vt:lpstr>
      <vt:lpstr>_10</vt:lpstr>
      <vt:lpstr>_10a</vt:lpstr>
      <vt:lpstr>_10b</vt:lpstr>
      <vt:lpstr>_10c</vt:lpstr>
      <vt:lpstr>_10d</vt:lpstr>
      <vt:lpstr>_10e</vt:lpstr>
      <vt:lpstr>_12</vt:lpstr>
      <vt:lpstr>_12a</vt:lpstr>
      <vt:lpstr>_12b</vt:lpstr>
      <vt:lpstr>_12c</vt:lpstr>
      <vt:lpstr>_12d</vt:lpstr>
      <vt:lpstr>_12e</vt:lpstr>
      <vt:lpstr>_13</vt:lpstr>
      <vt:lpstr>_13a</vt:lpstr>
      <vt:lpstr>_14</vt:lpstr>
      <vt:lpstr>_14a</vt:lpstr>
      <vt:lpstr>_14b</vt:lpstr>
      <vt:lpstr>_15</vt:lpstr>
      <vt:lpstr>_15a</vt:lpstr>
      <vt:lpstr>_16</vt:lpstr>
      <vt:lpstr>_16a</vt:lpstr>
      <vt:lpstr>_16b</vt:lpstr>
      <vt:lpstr>_16c</vt:lpstr>
      <vt:lpstr>_16d</vt:lpstr>
      <vt:lpstr>_16e</vt:lpstr>
      <vt:lpstr>_16f</vt:lpstr>
      <vt:lpstr>_16g</vt:lpstr>
      <vt:lpstr>_16h</vt:lpstr>
      <vt:lpstr>_16i</vt:lpstr>
      <vt:lpstr>_16j</vt:lpstr>
      <vt:lpstr>_16k</vt:lpstr>
      <vt:lpstr>_16l</vt:lpstr>
      <vt:lpstr>_17</vt:lpstr>
      <vt:lpstr>_17a</vt:lpstr>
      <vt:lpstr>_17b</vt:lpstr>
      <vt:lpstr>_17c</vt:lpstr>
      <vt:lpstr>_17d</vt:lpstr>
      <vt:lpstr>_18</vt:lpstr>
      <vt:lpstr>_18a</vt:lpstr>
      <vt:lpstr>_18b</vt:lpstr>
      <vt:lpstr>_19</vt:lpstr>
      <vt:lpstr>_19a</vt:lpstr>
      <vt:lpstr>_19b</vt:lpstr>
      <vt:lpstr>_19c</vt:lpstr>
      <vt:lpstr>_19d</vt:lpstr>
      <vt:lpstr>_19e</vt:lpstr>
      <vt:lpstr>_1a</vt:lpstr>
      <vt:lpstr>_1b</vt:lpstr>
      <vt:lpstr>_2</vt:lpstr>
      <vt:lpstr>_20</vt:lpstr>
      <vt:lpstr>_20a</vt:lpstr>
      <vt:lpstr>_21</vt:lpstr>
      <vt:lpstr>_21a</vt:lpstr>
      <vt:lpstr>_22</vt:lpstr>
      <vt:lpstr>_22a</vt:lpstr>
      <vt:lpstr>_23</vt:lpstr>
      <vt:lpstr>_23a</vt:lpstr>
      <vt:lpstr>_24</vt:lpstr>
      <vt:lpstr>_24a</vt:lpstr>
      <vt:lpstr>_24b</vt:lpstr>
      <vt:lpstr>_24c</vt:lpstr>
      <vt:lpstr>_25</vt:lpstr>
      <vt:lpstr>_25a</vt:lpstr>
      <vt:lpstr>_26</vt:lpstr>
      <vt:lpstr>_26a</vt:lpstr>
      <vt:lpstr>_26b</vt:lpstr>
      <vt:lpstr>_27</vt:lpstr>
      <vt:lpstr>_27a</vt:lpstr>
      <vt:lpstr>_27b</vt:lpstr>
      <vt:lpstr>_28</vt:lpstr>
      <vt:lpstr>_28a</vt:lpstr>
      <vt:lpstr>_29</vt:lpstr>
      <vt:lpstr>_29a</vt:lpstr>
      <vt:lpstr>_2a</vt:lpstr>
      <vt:lpstr>_3</vt:lpstr>
      <vt:lpstr>_30</vt:lpstr>
      <vt:lpstr>_30a</vt:lpstr>
      <vt:lpstr>_31</vt:lpstr>
      <vt:lpstr>_31a</vt:lpstr>
      <vt:lpstr>_32</vt:lpstr>
      <vt:lpstr>_32a</vt:lpstr>
      <vt:lpstr>_35</vt:lpstr>
      <vt:lpstr>_35a</vt:lpstr>
      <vt:lpstr>_37</vt:lpstr>
      <vt:lpstr>_37a</vt:lpstr>
      <vt:lpstr>_37b</vt:lpstr>
      <vt:lpstr>_37c</vt:lpstr>
      <vt:lpstr>_37d</vt:lpstr>
      <vt:lpstr>_38</vt:lpstr>
      <vt:lpstr>_38a</vt:lpstr>
      <vt:lpstr>_3a</vt:lpstr>
      <vt:lpstr>_4</vt:lpstr>
      <vt:lpstr>_40</vt:lpstr>
      <vt:lpstr>_40a</vt:lpstr>
      <vt:lpstr>_42</vt:lpstr>
      <vt:lpstr>_42a</vt:lpstr>
      <vt:lpstr>_43</vt:lpstr>
      <vt:lpstr>_43a</vt:lpstr>
      <vt:lpstr>_45</vt:lpstr>
      <vt:lpstr>_45a</vt:lpstr>
      <vt:lpstr>_48</vt:lpstr>
      <vt:lpstr>_48a</vt:lpstr>
      <vt:lpstr>_4a</vt:lpstr>
      <vt:lpstr>_4b</vt:lpstr>
      <vt:lpstr>_4c</vt:lpstr>
      <vt:lpstr>_5</vt:lpstr>
      <vt:lpstr>_50</vt:lpstr>
      <vt:lpstr>_50a</vt:lpstr>
      <vt:lpstr>_53</vt:lpstr>
      <vt:lpstr>_53a</vt:lpstr>
      <vt:lpstr>_5a</vt:lpstr>
      <vt:lpstr>_5b</vt:lpstr>
      <vt:lpstr>_6</vt:lpstr>
      <vt:lpstr>_60</vt:lpstr>
      <vt:lpstr>_60a</vt:lpstr>
      <vt:lpstr>_61</vt:lpstr>
      <vt:lpstr>_61a</vt:lpstr>
      <vt:lpstr>_66</vt:lpstr>
      <vt:lpstr>_66a</vt:lpstr>
      <vt:lpstr>_66b</vt:lpstr>
      <vt:lpstr>_6a</vt:lpstr>
      <vt:lpstr>_6b</vt:lpstr>
      <vt:lpstr>_7</vt:lpstr>
      <vt:lpstr>_79</vt:lpstr>
      <vt:lpstr>_79a</vt:lpstr>
      <vt:lpstr>_79b</vt:lpstr>
      <vt:lpstr>_7a</vt:lpstr>
      <vt:lpstr>_7b</vt:lpstr>
      <vt:lpstr>_7c</vt:lpstr>
      <vt:lpstr>_80</vt:lpstr>
      <vt:lpstr>_80a</vt:lpstr>
      <vt:lpstr>_83</vt:lpstr>
      <vt:lpstr>_83a</vt:lpstr>
      <vt:lpstr>_83b</vt:lpstr>
      <vt:lpstr>_84</vt:lpstr>
      <vt:lpstr>_84a</vt:lpstr>
      <vt:lpstr>_84b</vt:lpstr>
      <vt:lpstr>_85</vt:lpstr>
      <vt:lpstr>_85a</vt:lpstr>
      <vt:lpstr>_85b</vt:lpstr>
      <vt:lpstr>_86</vt:lpstr>
      <vt:lpstr>_86a</vt:lpstr>
      <vt:lpstr>_88</vt:lpstr>
      <vt:lpstr>_88a</vt:lpstr>
      <vt:lpstr>_9</vt:lpstr>
      <vt:lpstr>_90</vt:lpstr>
      <vt:lpstr>_90a</vt:lpstr>
      <vt:lpstr>_92</vt:lpstr>
      <vt:lpstr>_92a</vt:lpstr>
      <vt:lpstr>_92b</vt:lpstr>
      <vt:lpstr>_92c</vt:lpstr>
      <vt:lpstr>_92d</vt:lpstr>
      <vt:lpstr>_92e</vt:lpstr>
      <vt:lpstr>_93</vt:lpstr>
      <vt:lpstr>_93a</vt:lpstr>
      <vt:lpstr>_9a</vt:lpstr>
      <vt:lpstr>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STAELENS</dc:creator>
  <cp:lastModifiedBy>STAELENS Nicolas</cp:lastModifiedBy>
  <dcterms:created xsi:type="dcterms:W3CDTF">2017-08-22T07:23:06Z</dcterms:created>
  <dcterms:modified xsi:type="dcterms:W3CDTF">2022-03-16T08:08:01Z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0x010100F41AEBCEDDAA524A91CC37ABA6B7D04F</vt:lpwstr>
  </property>
</Properties>
</file>